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8760" activeTab="0"/>
  </bookViews>
  <sheets>
    <sheet name="BEARINGS" sheetId="1" r:id="rId1"/>
  </sheets>
  <definedNames>
    <definedName name="_Key1" hidden="1">'BEARINGS'!$B$353</definedName>
    <definedName name="_Order1" hidden="1">255</definedName>
    <definedName name="_Regression_Int" localSheetId="0" hidden="1">1</definedName>
    <definedName name="_Sort" hidden="1">'BEARINGS'!$B$339:$N$342</definedName>
    <definedName name="_xlnm.Print_Area" localSheetId="0">'BEARINGS'!$B$3:$I$339</definedName>
    <definedName name="Print_Area_MI">'BEARINGS'!$B$3:$I$339</definedName>
    <definedName name="_xlnm.Print_Titles" localSheetId="0">'BEARINGS'!$3:$3</definedName>
    <definedName name="Print_Titles_MI" localSheetId="0">'BEARINGS'!$3:$3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<sst xmlns="http://schemas.openxmlformats.org/spreadsheetml/2006/main" count="1371" uniqueCount="735">
  <si>
    <t>Deg</t>
  </si>
  <si>
    <t>(east=-)</t>
  </si>
  <si>
    <t>Long.</t>
  </si>
  <si>
    <t>(south=-)</t>
  </si>
  <si>
    <t>Lat.</t>
  </si>
  <si>
    <t>Prefix</t>
  </si>
  <si>
    <t xml:space="preserve">   Country       </t>
  </si>
  <si>
    <t>Cont</t>
  </si>
  <si>
    <t>Zone</t>
  </si>
  <si>
    <t>Head.</t>
  </si>
  <si>
    <t>Miles</t>
  </si>
  <si>
    <t>1A</t>
  </si>
  <si>
    <t>SMOM</t>
  </si>
  <si>
    <t>EU</t>
  </si>
  <si>
    <t>15</t>
  </si>
  <si>
    <t>1S</t>
  </si>
  <si>
    <t>Spratly Is.</t>
  </si>
  <si>
    <t>AS</t>
  </si>
  <si>
    <t>26</t>
  </si>
  <si>
    <t>3A</t>
  </si>
  <si>
    <t>Monaco</t>
  </si>
  <si>
    <t>14</t>
  </si>
  <si>
    <t>3B6</t>
  </si>
  <si>
    <t>Agalega</t>
  </si>
  <si>
    <t>AF</t>
  </si>
  <si>
    <t>3B8</t>
  </si>
  <si>
    <t>Mauritius</t>
  </si>
  <si>
    <t>39</t>
  </si>
  <si>
    <t>3B9</t>
  </si>
  <si>
    <t>Rodriguez Is.</t>
  </si>
  <si>
    <t>3C</t>
  </si>
  <si>
    <t>Equatorial Guinea</t>
  </si>
  <si>
    <t>36</t>
  </si>
  <si>
    <t>3C0</t>
  </si>
  <si>
    <t>Pagalu Is.</t>
  </si>
  <si>
    <t>3D2</t>
  </si>
  <si>
    <t>Fiji</t>
  </si>
  <si>
    <t>OC</t>
  </si>
  <si>
    <t>32</t>
  </si>
  <si>
    <t>3D2/C</t>
  </si>
  <si>
    <t>Conway Reef</t>
  </si>
  <si>
    <t>3D2/R</t>
  </si>
  <si>
    <t>Rotuma Island</t>
  </si>
  <si>
    <t>3DA</t>
  </si>
  <si>
    <t>Swaziland</t>
  </si>
  <si>
    <t>38</t>
  </si>
  <si>
    <t>3V</t>
  </si>
  <si>
    <t>Tunisia</t>
  </si>
  <si>
    <t>33</t>
  </si>
  <si>
    <t>3X</t>
  </si>
  <si>
    <t>Rep. of Guinea</t>
  </si>
  <si>
    <t>35</t>
  </si>
  <si>
    <t>3Y</t>
  </si>
  <si>
    <t>Bouvet</t>
  </si>
  <si>
    <t>3Y/P</t>
  </si>
  <si>
    <t>Peter Is.</t>
  </si>
  <si>
    <t>AN</t>
  </si>
  <si>
    <t>12</t>
  </si>
  <si>
    <t>4J</t>
  </si>
  <si>
    <t>Azerbaijan</t>
  </si>
  <si>
    <t>21</t>
  </si>
  <si>
    <t>4L</t>
  </si>
  <si>
    <t>Georgia</t>
  </si>
  <si>
    <t>4S</t>
  </si>
  <si>
    <t>Sri Lanka</t>
  </si>
  <si>
    <t>22</t>
  </si>
  <si>
    <t>4U/I</t>
  </si>
  <si>
    <t>ITU Geneva</t>
  </si>
  <si>
    <t>4U/U</t>
  </si>
  <si>
    <t>U.N. Hq</t>
  </si>
  <si>
    <t>NA</t>
  </si>
  <si>
    <t>05</t>
  </si>
  <si>
    <t>4W</t>
  </si>
  <si>
    <t>PDR Yemen</t>
  </si>
  <si>
    <t>4X</t>
  </si>
  <si>
    <t>Israel</t>
  </si>
  <si>
    <t>20</t>
  </si>
  <si>
    <t>5A</t>
  </si>
  <si>
    <t>Libya</t>
  </si>
  <si>
    <t>34</t>
  </si>
  <si>
    <t>5B</t>
  </si>
  <si>
    <t>Cyprus</t>
  </si>
  <si>
    <t>5H</t>
  </si>
  <si>
    <t>Tanzania</t>
  </si>
  <si>
    <t>37</t>
  </si>
  <si>
    <t>5N</t>
  </si>
  <si>
    <t>Nigeria</t>
  </si>
  <si>
    <t>5R</t>
  </si>
  <si>
    <t>Madagascar</t>
  </si>
  <si>
    <t>5T</t>
  </si>
  <si>
    <t>Mauritania</t>
  </si>
  <si>
    <t>5U</t>
  </si>
  <si>
    <t>Niger</t>
  </si>
  <si>
    <t>5V</t>
  </si>
  <si>
    <t>Togo</t>
  </si>
  <si>
    <t>5W</t>
  </si>
  <si>
    <t>Western Samoa</t>
  </si>
  <si>
    <t>5X</t>
  </si>
  <si>
    <t>Uganda</t>
  </si>
  <si>
    <t>5Z</t>
  </si>
  <si>
    <t>Kenya</t>
  </si>
  <si>
    <t>6W</t>
  </si>
  <si>
    <t>Senegal</t>
  </si>
  <si>
    <t>6Y</t>
  </si>
  <si>
    <t>Jamaica</t>
  </si>
  <si>
    <t>08</t>
  </si>
  <si>
    <t>7P</t>
  </si>
  <si>
    <t>Lesotho</t>
  </si>
  <si>
    <t>7Q</t>
  </si>
  <si>
    <t>Malawi</t>
  </si>
  <si>
    <t>7X</t>
  </si>
  <si>
    <t>Algeria</t>
  </si>
  <si>
    <t>8P</t>
  </si>
  <si>
    <t>Barbados</t>
  </si>
  <si>
    <t>8Q</t>
  </si>
  <si>
    <t>Maldive Is.</t>
  </si>
  <si>
    <t>8R</t>
  </si>
  <si>
    <t>Guyana</t>
  </si>
  <si>
    <t>SA</t>
  </si>
  <si>
    <t>09</t>
  </si>
  <si>
    <t>9A</t>
  </si>
  <si>
    <t>Croatia</t>
  </si>
  <si>
    <t>9G</t>
  </si>
  <si>
    <t>Ghana</t>
  </si>
  <si>
    <t>9H</t>
  </si>
  <si>
    <t>Malta</t>
  </si>
  <si>
    <t>9J</t>
  </si>
  <si>
    <t>Zambia</t>
  </si>
  <si>
    <t>9K</t>
  </si>
  <si>
    <t>Kuwait</t>
  </si>
  <si>
    <t>9L</t>
  </si>
  <si>
    <t>Sierra Leone</t>
  </si>
  <si>
    <t>9M2</t>
  </si>
  <si>
    <t>West Malasia</t>
  </si>
  <si>
    <t>28</t>
  </si>
  <si>
    <t>9M6</t>
  </si>
  <si>
    <t>East Malasia</t>
  </si>
  <si>
    <t>9N</t>
  </si>
  <si>
    <t>Nepal</t>
  </si>
  <si>
    <t>9Q</t>
  </si>
  <si>
    <t>Zaire</t>
  </si>
  <si>
    <t>9U</t>
  </si>
  <si>
    <t>Burundi</t>
  </si>
  <si>
    <t>9V</t>
  </si>
  <si>
    <t>Singapore</t>
  </si>
  <si>
    <t>9X</t>
  </si>
  <si>
    <t>Rwanda</t>
  </si>
  <si>
    <t>9Y</t>
  </si>
  <si>
    <t>Trinidad/Tobago</t>
  </si>
  <si>
    <t>A2</t>
  </si>
  <si>
    <t>Botswana</t>
  </si>
  <si>
    <t>A3</t>
  </si>
  <si>
    <t>Tonga</t>
  </si>
  <si>
    <t>A4</t>
  </si>
  <si>
    <t>Oman</t>
  </si>
  <si>
    <t>A5</t>
  </si>
  <si>
    <t>Bhutan</t>
  </si>
  <si>
    <t>A6</t>
  </si>
  <si>
    <t>Unit. Arab Emer</t>
  </si>
  <si>
    <t>A7</t>
  </si>
  <si>
    <t>Qatar</t>
  </si>
  <si>
    <t>A9</t>
  </si>
  <si>
    <t>Bahrain</t>
  </si>
  <si>
    <t>AP</t>
  </si>
  <si>
    <t>Pakistan</t>
  </si>
  <si>
    <t>BS7</t>
  </si>
  <si>
    <t>Scarborough Reef</t>
  </si>
  <si>
    <t>BV</t>
  </si>
  <si>
    <t>Taiwan</t>
  </si>
  <si>
    <t>24</t>
  </si>
  <si>
    <t>BV9/P</t>
  </si>
  <si>
    <t>Pratas Island</t>
  </si>
  <si>
    <t>BY</t>
  </si>
  <si>
    <t>China</t>
  </si>
  <si>
    <t>23</t>
  </si>
  <si>
    <t>C2</t>
  </si>
  <si>
    <t>Nauru</t>
  </si>
  <si>
    <t>31</t>
  </si>
  <si>
    <t>C3</t>
  </si>
  <si>
    <t>Andorra</t>
  </si>
  <si>
    <t>C5</t>
  </si>
  <si>
    <t>The Gambia</t>
  </si>
  <si>
    <t>C6</t>
  </si>
  <si>
    <t>Bahamas</t>
  </si>
  <si>
    <t>C9</t>
  </si>
  <si>
    <t>Mozambique</t>
  </si>
  <si>
    <t>CE</t>
  </si>
  <si>
    <t>Chile</t>
  </si>
  <si>
    <t>CE0/A</t>
  </si>
  <si>
    <t>Easter Island</t>
  </si>
  <si>
    <t>CE0/X</t>
  </si>
  <si>
    <t>San Felix</t>
  </si>
  <si>
    <t>CE0/Z</t>
  </si>
  <si>
    <t>Juan Fernandez</t>
  </si>
  <si>
    <t>CE9</t>
  </si>
  <si>
    <t>Antarctica</t>
  </si>
  <si>
    <t>*1</t>
  </si>
  <si>
    <t>CN</t>
  </si>
  <si>
    <t>Morocco</t>
  </si>
  <si>
    <t>CO</t>
  </si>
  <si>
    <t>Cuba</t>
  </si>
  <si>
    <t>CP</t>
  </si>
  <si>
    <t>Bolivia</t>
  </si>
  <si>
    <t>10</t>
  </si>
  <si>
    <t>CT</t>
  </si>
  <si>
    <t>Portugal</t>
  </si>
  <si>
    <t>CT3</t>
  </si>
  <si>
    <t>Madeira Island</t>
  </si>
  <si>
    <t>CU</t>
  </si>
  <si>
    <t>Azores</t>
  </si>
  <si>
    <t>CX</t>
  </si>
  <si>
    <t>Uruguay</t>
  </si>
  <si>
    <t>13</t>
  </si>
  <si>
    <t>CY0</t>
  </si>
  <si>
    <t>Sable Is.</t>
  </si>
  <si>
    <t>CY9</t>
  </si>
  <si>
    <t>St. Paul Is.</t>
  </si>
  <si>
    <t>D2</t>
  </si>
  <si>
    <t>Angola</t>
  </si>
  <si>
    <t>D4</t>
  </si>
  <si>
    <t>Cape Verde</t>
  </si>
  <si>
    <t>D6</t>
  </si>
  <si>
    <t>Comoros</t>
  </si>
  <si>
    <t>DL</t>
  </si>
  <si>
    <t>Germany</t>
  </si>
  <si>
    <t>DU</t>
  </si>
  <si>
    <t>Phillippines</t>
  </si>
  <si>
    <t>27</t>
  </si>
  <si>
    <t>E3</t>
  </si>
  <si>
    <t>Eritrea</t>
  </si>
  <si>
    <t>EA</t>
  </si>
  <si>
    <t>Spain</t>
  </si>
  <si>
    <t>EA6</t>
  </si>
  <si>
    <t>Balearic Is.</t>
  </si>
  <si>
    <t>EA8</t>
  </si>
  <si>
    <t>Canary Is.</t>
  </si>
  <si>
    <t>EA9</t>
  </si>
  <si>
    <t>Ceuta</t>
  </si>
  <si>
    <t>EI</t>
  </si>
  <si>
    <t>Ireland</t>
  </si>
  <si>
    <t>EK</t>
  </si>
  <si>
    <t>Armenia</t>
  </si>
  <si>
    <t>EL</t>
  </si>
  <si>
    <t>Liberia</t>
  </si>
  <si>
    <t>EP</t>
  </si>
  <si>
    <t>Iran</t>
  </si>
  <si>
    <t>ER</t>
  </si>
  <si>
    <t>Moldavia</t>
  </si>
  <si>
    <t>16</t>
  </si>
  <si>
    <t>ES</t>
  </si>
  <si>
    <t>Estonia</t>
  </si>
  <si>
    <t>ET</t>
  </si>
  <si>
    <t>Ethopia</t>
  </si>
  <si>
    <t>Byelorussia</t>
  </si>
  <si>
    <t>EX</t>
  </si>
  <si>
    <t>Kirghizia</t>
  </si>
  <si>
    <t>17</t>
  </si>
  <si>
    <t>EY</t>
  </si>
  <si>
    <t>Tadzhikistan</t>
  </si>
  <si>
    <t>EZ</t>
  </si>
  <si>
    <t>Turkmenistan</t>
  </si>
  <si>
    <t>F</t>
  </si>
  <si>
    <t>France</t>
  </si>
  <si>
    <t>FG</t>
  </si>
  <si>
    <t>Guadeloupe</t>
  </si>
  <si>
    <t>FH</t>
  </si>
  <si>
    <t>Mayotte</t>
  </si>
  <si>
    <t>FK</t>
  </si>
  <si>
    <t>New Caledonia</t>
  </si>
  <si>
    <t>FM</t>
  </si>
  <si>
    <t>Martinique</t>
  </si>
  <si>
    <t>FO</t>
  </si>
  <si>
    <t>French Oceania</t>
  </si>
  <si>
    <t>FO/X</t>
  </si>
  <si>
    <t>Clipperton</t>
  </si>
  <si>
    <t>07</t>
  </si>
  <si>
    <t>FP</t>
  </si>
  <si>
    <t>St. Pierre &amp;</t>
  </si>
  <si>
    <t>FR</t>
  </si>
  <si>
    <t>Reunion Is.</t>
  </si>
  <si>
    <t>FR/G</t>
  </si>
  <si>
    <t>Glorioso</t>
  </si>
  <si>
    <t>FR/J</t>
  </si>
  <si>
    <t>Juan de Nova</t>
  </si>
  <si>
    <t>FR/T</t>
  </si>
  <si>
    <t>Tromelin</t>
  </si>
  <si>
    <t>FS</t>
  </si>
  <si>
    <t>Saint Martin</t>
  </si>
  <si>
    <t>FT8/W</t>
  </si>
  <si>
    <t>Crozet</t>
  </si>
  <si>
    <t>FT8/X</t>
  </si>
  <si>
    <t>Kerguelen Is.</t>
  </si>
  <si>
    <t>FT8/Z</t>
  </si>
  <si>
    <t>Amsterdam</t>
  </si>
  <si>
    <t>FW</t>
  </si>
  <si>
    <t>Wallis &amp; Futuna</t>
  </si>
  <si>
    <t>FY</t>
  </si>
  <si>
    <t>Fr. Guiana</t>
  </si>
  <si>
    <t>G</t>
  </si>
  <si>
    <t>England</t>
  </si>
  <si>
    <t>GD</t>
  </si>
  <si>
    <t>Isle of Man</t>
  </si>
  <si>
    <t>GI</t>
  </si>
  <si>
    <t>Northern Ireland</t>
  </si>
  <si>
    <t>GJ</t>
  </si>
  <si>
    <t>Jersey</t>
  </si>
  <si>
    <t>GM</t>
  </si>
  <si>
    <t>Scotland</t>
  </si>
  <si>
    <t>GU</t>
  </si>
  <si>
    <t>Guernsey</t>
  </si>
  <si>
    <t>GW</t>
  </si>
  <si>
    <t>Wales</t>
  </si>
  <si>
    <t>H4</t>
  </si>
  <si>
    <t>Solomon Is.</t>
  </si>
  <si>
    <t>HA</t>
  </si>
  <si>
    <t>Hungary</t>
  </si>
  <si>
    <t>HB</t>
  </si>
  <si>
    <t>Switzerland</t>
  </si>
  <si>
    <t>HB0</t>
  </si>
  <si>
    <t>Liechtenstein</t>
  </si>
  <si>
    <t>HC</t>
  </si>
  <si>
    <t>Ecuador</t>
  </si>
  <si>
    <t>HC8</t>
  </si>
  <si>
    <t>Galapagos Is.</t>
  </si>
  <si>
    <t>HH</t>
  </si>
  <si>
    <t>Haiti</t>
  </si>
  <si>
    <t>HI</t>
  </si>
  <si>
    <t>Dominican Repub.</t>
  </si>
  <si>
    <t>HK</t>
  </si>
  <si>
    <t>Colombia</t>
  </si>
  <si>
    <t>HK0/A</t>
  </si>
  <si>
    <t>San Andreas</t>
  </si>
  <si>
    <t>HK0/M</t>
  </si>
  <si>
    <t>Malpelo Is.</t>
  </si>
  <si>
    <t>HL</t>
  </si>
  <si>
    <t>Korea</t>
  </si>
  <si>
    <t>25</t>
  </si>
  <si>
    <t>HP</t>
  </si>
  <si>
    <t>Panama</t>
  </si>
  <si>
    <t>HR</t>
  </si>
  <si>
    <t>Honduras</t>
  </si>
  <si>
    <t>HS</t>
  </si>
  <si>
    <t>Thailand</t>
  </si>
  <si>
    <t>HV</t>
  </si>
  <si>
    <t>Vatican</t>
  </si>
  <si>
    <t>HZ</t>
  </si>
  <si>
    <t>Saudi Arabia</t>
  </si>
  <si>
    <t>I</t>
  </si>
  <si>
    <t>Italy</t>
  </si>
  <si>
    <t>IS</t>
  </si>
  <si>
    <t>Sardinia</t>
  </si>
  <si>
    <t>J2</t>
  </si>
  <si>
    <t>Djibouti</t>
  </si>
  <si>
    <t>J3</t>
  </si>
  <si>
    <t>Grenada</t>
  </si>
  <si>
    <t>J5</t>
  </si>
  <si>
    <t>Guinea-Bissau</t>
  </si>
  <si>
    <t>J6</t>
  </si>
  <si>
    <t>St. Lucia</t>
  </si>
  <si>
    <t>J7</t>
  </si>
  <si>
    <t>Dominica</t>
  </si>
  <si>
    <t>J8</t>
  </si>
  <si>
    <t>St. Vincent</t>
  </si>
  <si>
    <t>JA</t>
  </si>
  <si>
    <t>Japan</t>
  </si>
  <si>
    <t>JD1</t>
  </si>
  <si>
    <t>Minami Torishima</t>
  </si>
  <si>
    <t>JD1/O</t>
  </si>
  <si>
    <t>Ogasawara</t>
  </si>
  <si>
    <t>JT</t>
  </si>
  <si>
    <t>Mongolia</t>
  </si>
  <si>
    <t>JW</t>
  </si>
  <si>
    <t>Svalbard</t>
  </si>
  <si>
    <t>40</t>
  </si>
  <si>
    <t>JX</t>
  </si>
  <si>
    <t>Jan Mayen</t>
  </si>
  <si>
    <t>JY</t>
  </si>
  <si>
    <t>Jordan</t>
  </si>
  <si>
    <t>KG4</t>
  </si>
  <si>
    <t>Guantanamo Bay</t>
  </si>
  <si>
    <t>KH0</t>
  </si>
  <si>
    <t>Mariana Is.</t>
  </si>
  <si>
    <t>KH1</t>
  </si>
  <si>
    <t>Baker, Howland Is</t>
  </si>
  <si>
    <t>KH2</t>
  </si>
  <si>
    <t>Guam</t>
  </si>
  <si>
    <t>KH3</t>
  </si>
  <si>
    <t>Johnston Is.</t>
  </si>
  <si>
    <t>KH4</t>
  </si>
  <si>
    <t>Midway Is.</t>
  </si>
  <si>
    <t>KH5</t>
  </si>
  <si>
    <t>Palmyra, Jarvis</t>
  </si>
  <si>
    <t>KH5/K</t>
  </si>
  <si>
    <t>Kingman Reef</t>
  </si>
  <si>
    <t>KH6</t>
  </si>
  <si>
    <t>Hawaii</t>
  </si>
  <si>
    <t>KH7</t>
  </si>
  <si>
    <t>Kure Is.</t>
  </si>
  <si>
    <t>KH8</t>
  </si>
  <si>
    <t>American Samoa</t>
  </si>
  <si>
    <t>KH9</t>
  </si>
  <si>
    <t>Wake Island</t>
  </si>
  <si>
    <t>KL7</t>
  </si>
  <si>
    <t>Alaska</t>
  </si>
  <si>
    <t>01</t>
  </si>
  <si>
    <t>KP1</t>
  </si>
  <si>
    <t>Navassa</t>
  </si>
  <si>
    <t>KP2</t>
  </si>
  <si>
    <t>Virgin Is.</t>
  </si>
  <si>
    <t>KP4</t>
  </si>
  <si>
    <t>Puerto Rico</t>
  </si>
  <si>
    <t>KP5</t>
  </si>
  <si>
    <t>Desecheo Is.</t>
  </si>
  <si>
    <t>LA</t>
  </si>
  <si>
    <t>Norway</t>
  </si>
  <si>
    <t>LU</t>
  </si>
  <si>
    <t>Argentina</t>
  </si>
  <si>
    <t>LX</t>
  </si>
  <si>
    <t>Luxembourg</t>
  </si>
  <si>
    <t>LY</t>
  </si>
  <si>
    <t>Lithuania</t>
  </si>
  <si>
    <t>LZ</t>
  </si>
  <si>
    <t>Bulgaria</t>
  </si>
  <si>
    <t>OA</t>
  </si>
  <si>
    <t>Peru</t>
  </si>
  <si>
    <t>OD</t>
  </si>
  <si>
    <t>Lebanon</t>
  </si>
  <si>
    <t>OE</t>
  </si>
  <si>
    <t>Austria</t>
  </si>
  <si>
    <t>OH</t>
  </si>
  <si>
    <t>Finland</t>
  </si>
  <si>
    <t>OH0</t>
  </si>
  <si>
    <t>Aland Is.</t>
  </si>
  <si>
    <t>OJ0</t>
  </si>
  <si>
    <t>Market Reef</t>
  </si>
  <si>
    <t>OK</t>
  </si>
  <si>
    <t>Czech Repub.</t>
  </si>
  <si>
    <t>OM</t>
  </si>
  <si>
    <t>Slovak Repub.</t>
  </si>
  <si>
    <t>ON</t>
  </si>
  <si>
    <t>Belgium</t>
  </si>
  <si>
    <t>OX</t>
  </si>
  <si>
    <t>Greenland</t>
  </si>
  <si>
    <t>OY</t>
  </si>
  <si>
    <t>Faroe Is.</t>
  </si>
  <si>
    <t>OZ</t>
  </si>
  <si>
    <t>Denmark</t>
  </si>
  <si>
    <t>P2</t>
  </si>
  <si>
    <t>Papua New Guinea</t>
  </si>
  <si>
    <t>P4</t>
  </si>
  <si>
    <t>Aruba</t>
  </si>
  <si>
    <t>P5</t>
  </si>
  <si>
    <t>No. Korea</t>
  </si>
  <si>
    <t>PA</t>
  </si>
  <si>
    <t>Netherlands</t>
  </si>
  <si>
    <t>PJ2</t>
  </si>
  <si>
    <t>Neth. Antilles</t>
  </si>
  <si>
    <t>PJ7</t>
  </si>
  <si>
    <t>St. Maarten</t>
  </si>
  <si>
    <t>PY</t>
  </si>
  <si>
    <t>Brazil</t>
  </si>
  <si>
    <t>11</t>
  </si>
  <si>
    <t>PY0/F</t>
  </si>
  <si>
    <t>Fern. de Norohna</t>
  </si>
  <si>
    <t>PY0/S</t>
  </si>
  <si>
    <t>St Peter &amp; Paul</t>
  </si>
  <si>
    <t>PY0/T</t>
  </si>
  <si>
    <t>Trindade</t>
  </si>
  <si>
    <t>PZ</t>
  </si>
  <si>
    <t>Surinam</t>
  </si>
  <si>
    <t>R1/FJ</t>
  </si>
  <si>
    <t>Franz Josef Land</t>
  </si>
  <si>
    <t>R1/MV</t>
  </si>
  <si>
    <t>Malyj Vysotskij</t>
  </si>
  <si>
    <t xml:space="preserve"> 15</t>
  </si>
  <si>
    <t>S0</t>
  </si>
  <si>
    <t>Western Sahara</t>
  </si>
  <si>
    <t>S2</t>
  </si>
  <si>
    <t>Bangladesh</t>
  </si>
  <si>
    <t>S5</t>
  </si>
  <si>
    <t>Slovenia</t>
  </si>
  <si>
    <t>S7</t>
  </si>
  <si>
    <t>Seychelles</t>
  </si>
  <si>
    <t>S9</t>
  </si>
  <si>
    <t>Sao Tome</t>
  </si>
  <si>
    <t>SM</t>
  </si>
  <si>
    <t>Sweden</t>
  </si>
  <si>
    <t>SP</t>
  </si>
  <si>
    <t>Poland</t>
  </si>
  <si>
    <t>ST</t>
  </si>
  <si>
    <t>Sudan</t>
  </si>
  <si>
    <t>SU</t>
  </si>
  <si>
    <t>Egypt</t>
  </si>
  <si>
    <t>SV</t>
  </si>
  <si>
    <t>Greece</t>
  </si>
  <si>
    <t>SV5</t>
  </si>
  <si>
    <t>Dodecanese</t>
  </si>
  <si>
    <t>SV9</t>
  </si>
  <si>
    <t>Crete</t>
  </si>
  <si>
    <t>SV/A</t>
  </si>
  <si>
    <t>Mt. Athos</t>
  </si>
  <si>
    <t>T2</t>
  </si>
  <si>
    <t>Tuvalu</t>
  </si>
  <si>
    <t>T30</t>
  </si>
  <si>
    <t>West Kiribati</t>
  </si>
  <si>
    <t>T31</t>
  </si>
  <si>
    <t>Central Kiribati</t>
  </si>
  <si>
    <t>T32</t>
  </si>
  <si>
    <t>East Kiribati</t>
  </si>
  <si>
    <t>T33</t>
  </si>
  <si>
    <t>Banaba Island</t>
  </si>
  <si>
    <t>T5</t>
  </si>
  <si>
    <t>Somalia</t>
  </si>
  <si>
    <t>T7</t>
  </si>
  <si>
    <t>San Marino</t>
  </si>
  <si>
    <t>T8</t>
  </si>
  <si>
    <t>Belau</t>
  </si>
  <si>
    <t>T9</t>
  </si>
  <si>
    <t>Bosnia-Herzogovenia</t>
  </si>
  <si>
    <t>TA</t>
  </si>
  <si>
    <t>Turkey</t>
  </si>
  <si>
    <t>TF</t>
  </si>
  <si>
    <t>Iceland</t>
  </si>
  <si>
    <t>TG</t>
  </si>
  <si>
    <t>Guatemala</t>
  </si>
  <si>
    <t>TI</t>
  </si>
  <si>
    <t>Costa Rica</t>
  </si>
  <si>
    <t>TI9</t>
  </si>
  <si>
    <t>Cocos Is.</t>
  </si>
  <si>
    <t>TJ</t>
  </si>
  <si>
    <t>Cameroon</t>
  </si>
  <si>
    <t>TK</t>
  </si>
  <si>
    <t>Corsica</t>
  </si>
  <si>
    <t>TL</t>
  </si>
  <si>
    <t>Centr. Africa Rep.</t>
  </si>
  <si>
    <t>TN</t>
  </si>
  <si>
    <t>Congo</t>
  </si>
  <si>
    <t>TR</t>
  </si>
  <si>
    <t>Gabon</t>
  </si>
  <si>
    <t>TT</t>
  </si>
  <si>
    <t>Chad</t>
  </si>
  <si>
    <t>TU</t>
  </si>
  <si>
    <t>Ivory Coast</t>
  </si>
  <si>
    <t>TY</t>
  </si>
  <si>
    <t>Benin</t>
  </si>
  <si>
    <t>TZ</t>
  </si>
  <si>
    <t>Mali</t>
  </si>
  <si>
    <t>UA</t>
  </si>
  <si>
    <t>Eur. Russia</t>
  </si>
  <si>
    <t>UA0</t>
  </si>
  <si>
    <t>Asiatic Russia</t>
  </si>
  <si>
    <t>*3</t>
  </si>
  <si>
    <t>UA2</t>
  </si>
  <si>
    <t>Kaliningradsk</t>
  </si>
  <si>
    <t>UJ</t>
  </si>
  <si>
    <t>Uzbekistan</t>
  </si>
  <si>
    <t>UN</t>
  </si>
  <si>
    <t>Kazakhstan</t>
  </si>
  <si>
    <t>UR</t>
  </si>
  <si>
    <t>Ukraine</t>
  </si>
  <si>
    <t>V2</t>
  </si>
  <si>
    <t>Antigua</t>
  </si>
  <si>
    <t>V3</t>
  </si>
  <si>
    <t>Belize</t>
  </si>
  <si>
    <t>V4</t>
  </si>
  <si>
    <t>St. Kitts &amp; Nevis</t>
  </si>
  <si>
    <t>V5</t>
  </si>
  <si>
    <t>Namibia</t>
  </si>
  <si>
    <t>V6</t>
  </si>
  <si>
    <t>East Caroline Is.</t>
  </si>
  <si>
    <t>V7</t>
  </si>
  <si>
    <t>Marshall Is.</t>
  </si>
  <si>
    <t>V8</t>
  </si>
  <si>
    <t>Brunei</t>
  </si>
  <si>
    <t>VE</t>
  </si>
  <si>
    <t>Canada</t>
  </si>
  <si>
    <t>*4</t>
  </si>
  <si>
    <t>VK</t>
  </si>
  <si>
    <t>Australia</t>
  </si>
  <si>
    <t>*5</t>
  </si>
  <si>
    <t>VK0</t>
  </si>
  <si>
    <t>Macquarie Is.</t>
  </si>
  <si>
    <t>30</t>
  </si>
  <si>
    <t>VK0/H</t>
  </si>
  <si>
    <t>Heard Is.</t>
  </si>
  <si>
    <t>VK9/C</t>
  </si>
  <si>
    <t>Cocos-Keeling Is.</t>
  </si>
  <si>
    <t>29</t>
  </si>
  <si>
    <t>VK9/L</t>
  </si>
  <si>
    <t>Lord Howe Is.</t>
  </si>
  <si>
    <t>VK9/M</t>
  </si>
  <si>
    <t>Mellish Reef</t>
  </si>
  <si>
    <t>VK9/N</t>
  </si>
  <si>
    <t>Norfolk Is.</t>
  </si>
  <si>
    <t>VK9/W</t>
  </si>
  <si>
    <t>Willis Is.</t>
  </si>
  <si>
    <t>VK9/X</t>
  </si>
  <si>
    <t>Christmas Is.</t>
  </si>
  <si>
    <t>VP2/E</t>
  </si>
  <si>
    <t>Anguilla</t>
  </si>
  <si>
    <t>VP2/M</t>
  </si>
  <si>
    <t>Montserrat</t>
  </si>
  <si>
    <t>VP2/V</t>
  </si>
  <si>
    <t>Brit. Virgin Is.</t>
  </si>
  <si>
    <t>VP5</t>
  </si>
  <si>
    <t>Turks &amp; Caicos</t>
  </si>
  <si>
    <t>VP8/F</t>
  </si>
  <si>
    <t>Falkland Is.</t>
  </si>
  <si>
    <t>VP8/G</t>
  </si>
  <si>
    <t>So. Georgia Is.</t>
  </si>
  <si>
    <t>VP8/H</t>
  </si>
  <si>
    <t>So. Shetland Is.</t>
  </si>
  <si>
    <t>VP8/O</t>
  </si>
  <si>
    <t>So. Orkney Is.</t>
  </si>
  <si>
    <t>VP8/S</t>
  </si>
  <si>
    <t>So. Sandwich Is.</t>
  </si>
  <si>
    <t>VP9</t>
  </si>
  <si>
    <t>Bermuda</t>
  </si>
  <si>
    <t>VQ9</t>
  </si>
  <si>
    <t>Chagos</t>
  </si>
  <si>
    <t>VR6</t>
  </si>
  <si>
    <t>Pitcairn Is.</t>
  </si>
  <si>
    <t>VS6</t>
  </si>
  <si>
    <t>Hong Kong</t>
  </si>
  <si>
    <t>VU</t>
  </si>
  <si>
    <t>India</t>
  </si>
  <si>
    <t>VU4</t>
  </si>
  <si>
    <t>Andaman Is.</t>
  </si>
  <si>
    <t>VU7</t>
  </si>
  <si>
    <t>Laccadive Is.</t>
  </si>
  <si>
    <t>W</t>
  </si>
  <si>
    <t>U.S.A. (Phoenix)</t>
  </si>
  <si>
    <t>*2</t>
  </si>
  <si>
    <t>XE</t>
  </si>
  <si>
    <t>Mexico</t>
  </si>
  <si>
    <t>06</t>
  </si>
  <si>
    <t>XF4</t>
  </si>
  <si>
    <t>Revilla Gigedo</t>
  </si>
  <si>
    <t>XT</t>
  </si>
  <si>
    <t>Burkina Faso</t>
  </si>
  <si>
    <t>XU</t>
  </si>
  <si>
    <t>Kampuchea</t>
  </si>
  <si>
    <t>XV</t>
  </si>
  <si>
    <t>Vietnam</t>
  </si>
  <si>
    <t>XW</t>
  </si>
  <si>
    <t>Laos</t>
  </si>
  <si>
    <t>XX9</t>
  </si>
  <si>
    <t>Macao</t>
  </si>
  <si>
    <t>XZ</t>
  </si>
  <si>
    <t>Burma</t>
  </si>
  <si>
    <t>YA</t>
  </si>
  <si>
    <t>Afghanistan</t>
  </si>
  <si>
    <t>YB</t>
  </si>
  <si>
    <t>Indonesia</t>
  </si>
  <si>
    <t>YI</t>
  </si>
  <si>
    <t>Iraq</t>
  </si>
  <si>
    <t>YJ</t>
  </si>
  <si>
    <t>Vanuatu</t>
  </si>
  <si>
    <t>YK</t>
  </si>
  <si>
    <t>Syria</t>
  </si>
  <si>
    <t>YL</t>
  </si>
  <si>
    <t>Latvia</t>
  </si>
  <si>
    <t>YN</t>
  </si>
  <si>
    <t>Nicaragua</t>
  </si>
  <si>
    <t>YO</t>
  </si>
  <si>
    <t>Romania</t>
  </si>
  <si>
    <t>YS</t>
  </si>
  <si>
    <t>El Salvador</t>
  </si>
  <si>
    <t>YU</t>
  </si>
  <si>
    <t>Yugoslavia</t>
  </si>
  <si>
    <t>YV</t>
  </si>
  <si>
    <t>Venezuela</t>
  </si>
  <si>
    <t>YV0</t>
  </si>
  <si>
    <t>Aves Is.</t>
  </si>
  <si>
    <t>Z2</t>
  </si>
  <si>
    <t>Zimbabwe</t>
  </si>
  <si>
    <t>Z3</t>
  </si>
  <si>
    <t>Macedonia</t>
  </si>
  <si>
    <t>ZA</t>
  </si>
  <si>
    <t>Albania</t>
  </si>
  <si>
    <t>ZB</t>
  </si>
  <si>
    <t>Gibraltar</t>
  </si>
  <si>
    <t>ZC4</t>
  </si>
  <si>
    <t>UK Bases, Cyprus</t>
  </si>
  <si>
    <t>ZD7</t>
  </si>
  <si>
    <t>St. Helena</t>
  </si>
  <si>
    <t>ZD8</t>
  </si>
  <si>
    <t>Ascension Is.</t>
  </si>
  <si>
    <t>ZD9</t>
  </si>
  <si>
    <t>Tristan da Cunha</t>
  </si>
  <si>
    <t>ZF</t>
  </si>
  <si>
    <t>Grand Cayman Is.</t>
  </si>
  <si>
    <t>ZK1/N</t>
  </si>
  <si>
    <t>No. Cook Is.</t>
  </si>
  <si>
    <t>ZK1/S</t>
  </si>
  <si>
    <t>So. Cook Is.</t>
  </si>
  <si>
    <t>ZK2</t>
  </si>
  <si>
    <t>Niue</t>
  </si>
  <si>
    <t>ZK3</t>
  </si>
  <si>
    <t>Tokelau Is.</t>
  </si>
  <si>
    <t>ZL</t>
  </si>
  <si>
    <t>New Zealand</t>
  </si>
  <si>
    <t>ZL7</t>
  </si>
  <si>
    <t>Chatham Is.</t>
  </si>
  <si>
    <t>ZL8</t>
  </si>
  <si>
    <t>Kermadec Is.</t>
  </si>
  <si>
    <t>ZL9</t>
  </si>
  <si>
    <t>Campbell Is.</t>
  </si>
  <si>
    <t>ZP</t>
  </si>
  <si>
    <t>Paraguay</t>
  </si>
  <si>
    <t>ZS</t>
  </si>
  <si>
    <t>So. Africa</t>
  </si>
  <si>
    <t>ZS8</t>
  </si>
  <si>
    <t>Marion Is.</t>
  </si>
  <si>
    <t xml:space="preserve"> </t>
  </si>
  <si>
    <t>Enter your Longitude</t>
  </si>
  <si>
    <t>Enter your Latitude</t>
  </si>
  <si>
    <t>Recip.</t>
  </si>
  <si>
    <t>H40</t>
  </si>
  <si>
    <t>Temotu Islands</t>
  </si>
  <si>
    <t xml:space="preserve"> By K7NO</t>
  </si>
  <si>
    <t>FO/A</t>
  </si>
  <si>
    <t>FO/M</t>
  </si>
  <si>
    <t>Austral Islands</t>
  </si>
  <si>
    <t>Marquesas Islands</t>
  </si>
  <si>
    <t>E4</t>
  </si>
  <si>
    <t>Palestine</t>
  </si>
  <si>
    <t xml:space="preserve">    Beam Heading Chart</t>
  </si>
  <si>
    <t>7O</t>
  </si>
  <si>
    <t>E.Timor</t>
  </si>
  <si>
    <t>Lookup</t>
  </si>
  <si>
    <t>Heading</t>
  </si>
  <si>
    <t>Chesterfield Is.</t>
  </si>
  <si>
    <t>tx0</t>
  </si>
  <si>
    <t>TX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</si>
</sst>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_)"/>
    <numFmt numFmtId="166" formatCode="0_)"/>
    <numFmt numFmtId="167" formatCode="0.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Helv"/>
      <family val="0"/>
    </font>
    <font>
      <sz val="9"/>
      <color indexed="12"/>
      <name val="Courier New"/>
      <family val="0"/>
    </font>
    <font>
      <sz val="9"/>
      <name val="Courier New"/>
      <family val="0"/>
    </font>
    <font>
      <u val="single"/>
      <sz val="9"/>
      <color indexed="12"/>
      <name val="Courier New"/>
      <family val="0"/>
    </font>
    <font>
      <sz val="10"/>
      <name val="Helv"/>
      <family val="0"/>
    </font>
    <font>
      <sz val="9"/>
      <name val="Helv"/>
      <family val="0"/>
    </font>
    <font>
      <sz val="18"/>
      <name val="Helv"/>
      <family val="0"/>
    </font>
    <font>
      <sz val="18"/>
      <color indexed="39"/>
      <name val="Courier New"/>
      <family val="0"/>
    </font>
    <font>
      <sz val="18"/>
      <color indexed="48"/>
      <name val="Helv"/>
      <family val="0"/>
    </font>
    <font>
      <sz val="18"/>
      <color indexed="12"/>
      <name val="Courier New"/>
      <family val="0"/>
    </font>
    <font>
      <sz val="18"/>
      <color indexed="12"/>
      <name val="Helv"/>
      <family val="0"/>
    </font>
    <font>
      <sz val="16"/>
      <name val="Helv"/>
      <family val="0"/>
    </font>
    <font>
      <sz val="16"/>
      <color indexed="12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9"/>
      <name val="Andale Mono"/>
      <family val="3"/>
    </font>
    <font>
      <sz val="12"/>
      <name val="Andale Mono"/>
      <family val="3"/>
    </font>
    <font>
      <sz val="9"/>
      <color indexed="12"/>
      <name val="Andale Mono"/>
      <family val="3"/>
    </font>
    <font>
      <sz val="9"/>
      <color indexed="39"/>
      <name val="Andale Mono"/>
      <family val="3"/>
    </font>
    <font>
      <b/>
      <sz val="9"/>
      <color indexed="48"/>
      <name val="Andale Mono"/>
      <family val="3"/>
    </font>
    <font>
      <sz val="10"/>
      <name val="Andale Mono"/>
      <family val="3"/>
    </font>
    <font>
      <sz val="8"/>
      <color indexed="48"/>
      <name val="Andale Mono"/>
      <family val="3"/>
    </font>
    <font>
      <sz val="12"/>
      <color indexed="39"/>
      <name val="Andale Mono"/>
      <family val="3"/>
    </font>
    <font>
      <u val="single"/>
      <sz val="9"/>
      <color indexed="39"/>
      <name val="Andale Mono"/>
      <family val="3"/>
    </font>
    <font>
      <u val="single"/>
      <sz val="10"/>
      <name val="Andale Mono"/>
      <family val="3"/>
    </font>
    <font>
      <u val="single"/>
      <sz val="9"/>
      <color indexed="12"/>
      <name val="Andale Mono"/>
      <family val="3"/>
    </font>
    <font>
      <sz val="10"/>
      <color indexed="12"/>
      <name val="Andale Mono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66" fontId="5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1" fontId="17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6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/>
    </xf>
    <xf numFmtId="0" fontId="24" fillId="2" borderId="0" xfId="0" applyFont="1" applyFill="1" applyAlignment="1">
      <alignment horizontal="center"/>
    </xf>
    <xf numFmtId="1" fontId="24" fillId="2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6" fillId="2" borderId="0" xfId="0" applyFont="1" applyFill="1" applyAlignment="1">
      <alignment horizontal="center"/>
    </xf>
    <xf numFmtId="1" fontId="26" fillId="2" borderId="0" xfId="0" applyNumberFormat="1" applyFont="1" applyFill="1" applyAlignment="1">
      <alignment/>
    </xf>
    <xf numFmtId="164" fontId="22" fillId="0" borderId="0" xfId="0" applyNumberFormat="1" applyFont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 locked="0"/>
    </xf>
    <xf numFmtId="0" fontId="29" fillId="0" borderId="0" xfId="0" applyFont="1" applyAlignment="1">
      <alignment/>
    </xf>
    <xf numFmtId="1" fontId="30" fillId="0" borderId="0" xfId="0" applyNumberFormat="1" applyFont="1" applyAlignment="1">
      <alignment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25" fillId="0" borderId="0" xfId="0" applyFont="1" applyAlignment="1" applyProtection="1">
      <alignment/>
      <protection/>
    </xf>
    <xf numFmtId="165" fontId="23" fillId="0" borderId="0" xfId="0" applyNumberFormat="1" applyFont="1" applyAlignment="1" applyProtection="1">
      <alignment/>
      <protection/>
    </xf>
    <xf numFmtId="166" fontId="23" fillId="0" borderId="0" xfId="0" applyNumberFormat="1" applyFont="1" applyAlignment="1" applyProtection="1">
      <alignment horizontal="center"/>
      <protection/>
    </xf>
    <xf numFmtId="166" fontId="23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168" fontId="25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/>
    </xf>
    <xf numFmtId="165" fontId="20" fillId="0" borderId="0" xfId="0" applyNumberFormat="1" applyFont="1" applyAlignment="1" applyProtection="1">
      <alignment/>
      <protection/>
    </xf>
    <xf numFmtId="166" fontId="23" fillId="0" borderId="0" xfId="0" applyNumberFormat="1" applyFont="1" applyAlignment="1" applyProtection="1">
      <alignment horizontal="center"/>
      <protection locked="0"/>
    </xf>
    <xf numFmtId="166" fontId="23" fillId="0" borderId="0" xfId="0" applyNumberFormat="1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62"/>
  <sheetViews>
    <sheetView showGridLines="0" tabSelected="1" workbookViewId="0" topLeftCell="A1">
      <pane ySplit="2040" topLeftCell="BM31" activePane="bottomLeft" state="split"/>
      <selection pane="topLeft" activeCell="H5" sqref="H5"/>
      <selection pane="bottomLeft" activeCell="C265" sqref="C265"/>
    </sheetView>
  </sheetViews>
  <sheetFormatPr defaultColWidth="9.77734375" defaultRowHeight="15.75"/>
  <cols>
    <col min="1" max="1" width="3.6640625" style="23" customWidth="1"/>
    <col min="2" max="2" width="7.77734375" style="0" customWidth="1"/>
    <col min="3" max="3" width="17.77734375" style="0" customWidth="1"/>
    <col min="4" max="4" width="8.6640625" style="0" customWidth="1"/>
    <col min="5" max="5" width="4.88671875" style="8" customWidth="1"/>
    <col min="6" max="6" width="7.21484375" style="0" customWidth="1"/>
    <col min="7" max="7" width="6.77734375" style="0" customWidth="1"/>
    <col min="8" max="8" width="7.10546875" style="8" customWidth="1"/>
    <col min="9" max="9" width="6.10546875" style="0" customWidth="1"/>
    <col min="10" max="10" width="9.77734375" style="0" hidden="1" customWidth="1"/>
    <col min="11" max="11" width="5.4453125" style="0" hidden="1" customWidth="1"/>
    <col min="12" max="12" width="6.3359375" style="0" hidden="1" customWidth="1"/>
    <col min="13" max="13" width="6.3359375" style="24" customWidth="1"/>
    <col min="14" max="14" width="13.77734375" style="0" hidden="1" customWidth="1"/>
    <col min="15" max="16" width="9.77734375" style="0" hidden="1" customWidth="1"/>
  </cols>
  <sheetData>
    <row r="1" spans="1:13" s="27" customFormat="1" ht="24">
      <c r="A1" s="34"/>
      <c r="B1" s="28" t="s">
        <v>727</v>
      </c>
      <c r="C1" s="29"/>
      <c r="D1" s="29"/>
      <c r="E1" s="30" t="s">
        <v>720</v>
      </c>
      <c r="F1" s="31"/>
      <c r="G1" s="32"/>
      <c r="H1" s="33"/>
      <c r="I1" s="32"/>
      <c r="J1" s="35"/>
      <c r="K1" s="35"/>
      <c r="L1" s="35"/>
      <c r="M1" s="36"/>
    </row>
    <row r="2" spans="1:17" ht="15.75">
      <c r="A2" s="37"/>
      <c r="B2" s="38"/>
      <c r="C2" s="38"/>
      <c r="D2" s="38"/>
      <c r="E2" s="39"/>
      <c r="F2" s="38"/>
      <c r="G2" s="38"/>
      <c r="H2" s="39"/>
      <c r="I2" s="38"/>
      <c r="J2" s="38"/>
      <c r="K2" s="38"/>
      <c r="L2" s="38"/>
      <c r="M2" s="40"/>
      <c r="N2" s="38"/>
      <c r="O2" s="38"/>
      <c r="P2" s="38"/>
      <c r="Q2" s="38"/>
    </row>
    <row r="3" spans="1:20" ht="12" customHeight="1">
      <c r="A3" s="41"/>
      <c r="B3" s="38"/>
      <c r="C3" s="42" t="s">
        <v>715</v>
      </c>
      <c r="D3" s="43">
        <v>112.06</v>
      </c>
      <c r="E3" s="44" t="s">
        <v>0</v>
      </c>
      <c r="F3" s="45" t="s">
        <v>1</v>
      </c>
      <c r="G3" s="46" t="s">
        <v>2</v>
      </c>
      <c r="H3" s="47" t="s">
        <v>730</v>
      </c>
      <c r="I3" s="47" t="s">
        <v>731</v>
      </c>
      <c r="J3" s="47"/>
      <c r="K3" s="47"/>
      <c r="L3" s="47"/>
      <c r="M3" s="48" t="s">
        <v>10</v>
      </c>
      <c r="N3" s="49"/>
      <c r="O3" s="50"/>
      <c r="P3" s="49"/>
      <c r="Q3" s="49"/>
      <c r="R3" s="20"/>
      <c r="S3" s="20"/>
      <c r="T3" s="20"/>
    </row>
    <row r="4" spans="1:17" ht="12" customHeight="1">
      <c r="A4" s="41"/>
      <c r="B4" s="38"/>
      <c r="C4" s="46" t="s">
        <v>716</v>
      </c>
      <c r="D4" s="43">
        <v>33.55</v>
      </c>
      <c r="E4" s="44" t="s">
        <v>0</v>
      </c>
      <c r="F4" s="45" t="s">
        <v>3</v>
      </c>
      <c r="G4" s="46" t="s">
        <v>4</v>
      </c>
      <c r="H4" s="51" t="s">
        <v>733</v>
      </c>
      <c r="I4" s="52">
        <f>LOOKUP(H4,B8:B350,H8:H350)</f>
        <v>253.04173950405362</v>
      </c>
      <c r="J4" s="52"/>
      <c r="K4" s="52"/>
      <c r="L4" s="52"/>
      <c r="M4" s="52">
        <f>LOOKUP(H4,B8:B350,I8:I350)</f>
        <v>6941.185895208092</v>
      </c>
      <c r="N4" s="49"/>
      <c r="O4" s="38"/>
      <c r="P4" s="53"/>
      <c r="Q4" s="38"/>
    </row>
    <row r="5" spans="1:17" ht="12" customHeight="1">
      <c r="A5" s="41"/>
      <c r="B5" s="38"/>
      <c r="C5" s="46"/>
      <c r="D5" s="43"/>
      <c r="E5" s="44"/>
      <c r="F5" s="54"/>
      <c r="G5" s="54"/>
      <c r="H5" s="45"/>
      <c r="I5" s="46"/>
      <c r="J5" s="49"/>
      <c r="K5" s="49"/>
      <c r="L5" s="49"/>
      <c r="M5" s="40"/>
      <c r="N5" s="49"/>
      <c r="O5" s="38"/>
      <c r="P5" s="53"/>
      <c r="Q5" s="38"/>
    </row>
    <row r="6" spans="1:20" ht="12" customHeight="1">
      <c r="A6" s="55"/>
      <c r="B6" s="56" t="s">
        <v>5</v>
      </c>
      <c r="C6" s="55" t="s">
        <v>6</v>
      </c>
      <c r="D6" s="56" t="s">
        <v>7</v>
      </c>
      <c r="E6" s="56" t="s">
        <v>8</v>
      </c>
      <c r="F6" s="56" t="s">
        <v>2</v>
      </c>
      <c r="G6" s="56" t="s">
        <v>4</v>
      </c>
      <c r="H6" s="56" t="s">
        <v>9</v>
      </c>
      <c r="I6" s="56" t="s">
        <v>10</v>
      </c>
      <c r="J6" s="57"/>
      <c r="K6" s="57"/>
      <c r="L6" s="57"/>
      <c r="M6" s="58" t="s">
        <v>717</v>
      </c>
      <c r="N6" s="49"/>
      <c r="O6" s="53"/>
      <c r="P6" s="59"/>
      <c r="Q6" s="38"/>
      <c r="S6" s="9"/>
      <c r="T6" s="11"/>
    </row>
    <row r="7" spans="1:20" ht="7.5" customHeight="1">
      <c r="A7" s="41"/>
      <c r="B7" s="60"/>
      <c r="C7" s="42"/>
      <c r="D7" s="42"/>
      <c r="E7" s="61"/>
      <c r="F7" s="60"/>
      <c r="G7" s="42"/>
      <c r="H7" s="62"/>
      <c r="I7" s="60"/>
      <c r="J7" s="63">
        <v>57.2957795130824</v>
      </c>
      <c r="K7" s="49"/>
      <c r="L7" s="49"/>
      <c r="M7" s="40"/>
      <c r="N7" s="49"/>
      <c r="O7" s="53"/>
      <c r="P7" s="59"/>
      <c r="Q7" s="38"/>
      <c r="S7" s="9"/>
      <c r="T7" s="11"/>
    </row>
    <row r="8" spans="1:20" ht="12" customHeight="1">
      <c r="A8" s="46">
        <v>1</v>
      </c>
      <c r="B8" s="46" t="s">
        <v>11</v>
      </c>
      <c r="C8" s="46" t="s">
        <v>12</v>
      </c>
      <c r="D8" s="61" t="s">
        <v>13</v>
      </c>
      <c r="E8" s="61" t="s">
        <v>14</v>
      </c>
      <c r="F8" s="64">
        <f>-12.4</f>
        <v>-12.4</v>
      </c>
      <c r="G8" s="64">
        <v>41.9</v>
      </c>
      <c r="H8" s="65">
        <f>IF(SIN(J8/$J$7)&gt;0,$J$7*ACOS((SIN(G8/$J$7)-SIN($D$4/$J$7)*K8)/(COS($D$4/$J$7)*SIN(L8/$J$7))),360-($J$7*ACOS((SIN(G8/$J$7)-SIN($D$4/$J$7)*K8)/(COS($D$4/$J$7)*SIN(L8/$J$7)))))</f>
        <v>37.864873050634735</v>
      </c>
      <c r="I8" s="66">
        <f>69.041*$J$7*(ACOS(SIN($D$4/$J$7)*SIN(G8/$J$7)+COS($D$4/$J$7)*COS(G8/$J$7)*COS(J8/$J$7)))</f>
        <v>6142.10402129311</v>
      </c>
      <c r="J8" s="63">
        <f>+$D$3-F8</f>
        <v>124.46000000000001</v>
      </c>
      <c r="K8" s="63">
        <f>SIN($D$4/$J$7)*SIN(G8/$J$7)+COS($D$4/$J$7)*COS(G8/$J$7)*COS(J8/$J$7)</f>
        <v>0.018095665374446013</v>
      </c>
      <c r="L8" s="63">
        <f aca="true" t="shared" si="0" ref="L8:L72">+$J$7*ACOS(K8)</f>
        <v>88.96313815404051</v>
      </c>
      <c r="M8" s="67">
        <f>IF(SIN(N8/$J$7)&gt;0,$J$7*ACOS((SIN($D$4/$J$7)-SIN(G8/$J$7)*O8)/(COS(G8/$J$7)*SIN(P8/$J$7))),360-($J$7*ACOS((SIN($D$4/$J$7)-SIN(G8/$J$7)*O8)/(COS(G8/$J$7)*SIN(P8/$J$7)))))</f>
        <v>316.5854614669307</v>
      </c>
      <c r="N8" s="68">
        <f>+F8-$D$3</f>
        <v>-124.46000000000001</v>
      </c>
      <c r="O8" s="69">
        <f>SIN(G8/$J$7)*SIN($D$4/$J$7)+COS(G8/$J$7)*COS($D$4/$J$7)*COS(N8/$J$7)</f>
        <v>0.018095665374446013</v>
      </c>
      <c r="P8" s="59">
        <f>$J$7*ACOS(O8)</f>
        <v>88.96313815404051</v>
      </c>
      <c r="Q8" s="70"/>
      <c r="R8" s="13"/>
      <c r="S8" s="13"/>
      <c r="T8" s="13"/>
    </row>
    <row r="9" spans="1:20" ht="12" customHeight="1">
      <c r="A9" s="46">
        <f>1+A8</f>
        <v>2</v>
      </c>
      <c r="B9" s="46" t="s">
        <v>15</v>
      </c>
      <c r="C9" s="46" t="s">
        <v>16</v>
      </c>
      <c r="D9" s="61" t="s">
        <v>17</v>
      </c>
      <c r="E9" s="61" t="s">
        <v>18</v>
      </c>
      <c r="F9" s="64">
        <f>-111.9</f>
        <v>-111.9</v>
      </c>
      <c r="G9" s="64">
        <v>8.8</v>
      </c>
      <c r="H9" s="65">
        <f>IF(SIN(J9/$J$7)&gt;0,$J$7*ACOS((SIN(G9/$J$7)-SIN($D$4/$J$7)*K9)/(COS($D$4/$J$7)*SIN(L9/$J$7))),360-($J$7*ACOS((SIN(G9/$J$7)-SIN($D$4/$J$7)*K9)/(COS($D$4/$J$7)*SIN(L9/$J$7)))))</f>
        <v>307.19717854632</v>
      </c>
      <c r="I9" s="66">
        <f>69.041*$J$7*(ACOS(SIN($D$4/$J$7)*SIN(G9/$J$7)+COS($D$4/$J$7)*COS(G9/$J$7)*COS(J9/$J$7)))</f>
        <v>8322.905475597523</v>
      </c>
      <c r="J9" s="63">
        <f>+$D$3-F9</f>
        <v>223.96</v>
      </c>
      <c r="K9" s="63">
        <f>SIN($D$4/$J$7)*SIN(G9/$J$7)+COS($D$4/$J$7)*COS(G9/$J$7)*COS(J9/$J$7)</f>
        <v>-0.5082928968548407</v>
      </c>
      <c r="L9" s="63">
        <f t="shared" si="0"/>
        <v>120.5501872162559</v>
      </c>
      <c r="M9" s="67">
        <f>IF(SIN(N9/$J$7)&gt;0,$J$7*ACOS((SIN($D$4/$J$7)-SIN(G9/$J$7)*O9)/(COS(G9/$J$7)*SIN(P9/$J$7))),360-($J$7*ACOS((SIN($D$4/$J$7)-SIN(G9/$J$7)*O9)/(COS(G9/$J$7)*SIN(P9/$J$7)))))</f>
        <v>42.20333103102597</v>
      </c>
      <c r="N9" s="68">
        <f>+F9-$D$3</f>
        <v>-223.96</v>
      </c>
      <c r="O9" s="69">
        <f>SIN(G9/$J$7)*SIN($D$4/$J$7)+COS(G9/$J$7)*COS($D$4/$J$7)*COS(N9/$J$7)</f>
        <v>-0.5082928968548407</v>
      </c>
      <c r="P9" s="59">
        <f>$J$7*ACOS(O9)</f>
        <v>120.5501872162559</v>
      </c>
      <c r="Q9" s="71"/>
      <c r="R9" s="10"/>
      <c r="S9" s="12"/>
      <c r="T9" s="14"/>
    </row>
    <row r="10" spans="1:20" ht="12" customHeight="1">
      <c r="A10" s="46">
        <f>1+A9</f>
        <v>3</v>
      </c>
      <c r="B10" s="46" t="s">
        <v>19</v>
      </c>
      <c r="C10" s="46" t="s">
        <v>20</v>
      </c>
      <c r="D10" s="61" t="s">
        <v>13</v>
      </c>
      <c r="E10" s="61" t="s">
        <v>21</v>
      </c>
      <c r="F10" s="64">
        <f>-7.5</f>
        <v>-7.5</v>
      </c>
      <c r="G10" s="64">
        <v>44</v>
      </c>
      <c r="H10" s="65">
        <f>IF(SIN(J10/$J$7)&gt;0,$J$7*ACOS((SIN(G10/$J$7)-SIN($D$4/$J$7)*K10)/(COS($D$4/$J$7)*SIN(L10/$J$7))),360-($J$7*ACOS((SIN(G10/$J$7)-SIN($D$4/$J$7)*K10)/(COS($D$4/$J$7)*SIN(L10/$J$7)))))</f>
        <v>38.91420365599001</v>
      </c>
      <c r="I10" s="66">
        <f>69.041*$J$7*(ACOS(SIN($D$4/$J$7)*SIN(G10/$J$7)+COS($D$4/$J$7)*COS(G10/$J$7)*COS(J10/$J$7)))</f>
        <v>5864.50275708832</v>
      </c>
      <c r="J10" s="63">
        <f>+$D$3-F10</f>
        <v>119.56</v>
      </c>
      <c r="K10" s="63">
        <f>SIN($D$4/$J$7)*SIN(G10/$J$7)+COS($D$4/$J$7)*COS(G10/$J$7)*COS(J10/$J$7)</f>
        <v>0.08815856293848157</v>
      </c>
      <c r="L10" s="63">
        <f t="shared" si="0"/>
        <v>84.94232060787533</v>
      </c>
      <c r="M10" s="67">
        <f>IF(SIN(N10/$J$7)&gt;0,$J$7*ACOS((SIN($D$4/$J$7)-SIN(G10/$J$7)*O10)/(COS(G10/$J$7)*SIN(P10/$J$7))),360-($J$7*ACOS((SIN($D$4/$J$7)-SIN(G10/$J$7)*O10)/(COS(G10/$J$7)*SIN(P10/$J$7)))))</f>
        <v>313.3009652409935</v>
      </c>
      <c r="N10" s="68">
        <f>+F10-$D$3</f>
        <v>-119.56</v>
      </c>
      <c r="O10" s="69">
        <f>SIN(G10/$J$7)*SIN($D$4/$J$7)+COS(G10/$J$7)*COS($D$4/$J$7)*COS(N10/$J$7)</f>
        <v>0.08815856293848157</v>
      </c>
      <c r="P10" s="59">
        <f aca="true" t="shared" si="1" ref="P10:P74">$J$7*ACOS(O10)</f>
        <v>84.94232060787533</v>
      </c>
      <c r="Q10" s="72"/>
      <c r="R10" s="15"/>
      <c r="S10" s="17"/>
      <c r="T10" s="16"/>
    </row>
    <row r="11" spans="1:17" ht="12" customHeight="1">
      <c r="A11" s="46">
        <f aca="true" t="shared" si="2" ref="A11:A74">1+A10</f>
        <v>4</v>
      </c>
      <c r="B11" s="46" t="s">
        <v>22</v>
      </c>
      <c r="C11" s="46" t="s">
        <v>23</v>
      </c>
      <c r="D11" s="61" t="s">
        <v>24</v>
      </c>
      <c r="E11" s="61">
        <v>39</v>
      </c>
      <c r="F11" s="64">
        <v>-56</v>
      </c>
      <c r="G11" s="64">
        <v>-10</v>
      </c>
      <c r="H11" s="73">
        <f>IF(SIN(J11/$J$7)&gt;0,$J$7*ACOS((SIN(G11/$J$7)-SIN($D$4/$J$7)*K11)/(COS($D$4/$J$7)*SIN(L11/$J$7))),360-($J$7*ACOS((SIN(G11/$J$7)-SIN($D$4/$J$7)*K11)/(COS($D$4/$J$7)*SIN(L11/$J$7)))))</f>
        <v>27.7183397184248</v>
      </c>
      <c r="I11" s="74">
        <f>69.041*$J$7*(ACOS(SIN($D$4/$J$7)*SIN(G11/$J$7)+COS($D$4/$J$7)*COS(G11/$J$7)*COS(J11/$J$7)))</f>
        <v>10633.765260355221</v>
      </c>
      <c r="J11" s="75">
        <f>+$D$3-F11</f>
        <v>168.06</v>
      </c>
      <c r="K11" s="75">
        <f>SIN($D$4/$J$7)*SIN(G11/$J$7)+COS($D$4/$J$7)*COS(G11/$J$7)*COS(J11/$J$7)</f>
        <v>-0.8989548123000862</v>
      </c>
      <c r="L11" s="75">
        <f t="shared" si="0"/>
        <v>154.02102026846688</v>
      </c>
      <c r="M11" s="67">
        <f>IF(SIN(N11/$J$7)&gt;0,$J$7*ACOS((SIN($D$4/$J$7)-SIN(G11/$J$7)*O11)/(COS(G11/$J$7)*SIN(P11/$J$7))),360-($J$7*ACOS((SIN($D$4/$J$7)-SIN(G11/$J$7)*O11)/(COS(G11/$J$7)*SIN(P11/$J$7)))))</f>
        <v>336.82023659489903</v>
      </c>
      <c r="N11" s="68">
        <f>+F11-$D$3</f>
        <v>-168.06</v>
      </c>
      <c r="O11" s="69">
        <f>SIN(G11/$J$7)*SIN($D$4/$J$7)+COS(G11/$J$7)*COS($D$4/$J$7)*COS(N11/$J$7)</f>
        <v>-0.8989548123000862</v>
      </c>
      <c r="P11" s="59">
        <f t="shared" si="1"/>
        <v>154.02102026846688</v>
      </c>
      <c r="Q11" s="38"/>
    </row>
    <row r="12" spans="1:17" ht="12" customHeight="1">
      <c r="A12" s="46">
        <f t="shared" si="2"/>
        <v>5</v>
      </c>
      <c r="B12" s="46" t="s">
        <v>25</v>
      </c>
      <c r="C12" s="46" t="s">
        <v>26</v>
      </c>
      <c r="D12" s="61" t="s">
        <v>24</v>
      </c>
      <c r="E12" s="61" t="s">
        <v>27</v>
      </c>
      <c r="F12" s="64">
        <f>-57.5</f>
        <v>-57.5</v>
      </c>
      <c r="G12" s="64">
        <f>-20.3</f>
        <v>-20.3</v>
      </c>
      <c r="H12" s="65">
        <f>IF(SIN(J12/$J$7)&gt;0,$J$7*ACOS((SIN(G12/$J$7)-SIN($D$4/$J$7)*K12)/(COS($D$4/$J$7)*SIN(L12/$J$7))),360-($J$7*ACOS((SIN(G12/$J$7)-SIN($D$4/$J$7)*K12)/(COS($D$4/$J$7)*SIN(L12/$J$7)))))</f>
        <v>37.60832302404282</v>
      </c>
      <c r="I12" s="66">
        <f>69.041*$J$7*(ACOS(SIN($D$4/$J$7)*SIN(G12/$J$7)+COS($D$4/$J$7)*COS(G12/$J$7)*COS(J12/$J$7)))</f>
        <v>11310.983208372878</v>
      </c>
      <c r="J12" s="63">
        <f>+$D$3-F12</f>
        <v>169.56</v>
      </c>
      <c r="K12" s="63">
        <f>SIN($D$4/$J$7)*SIN(G12/$J$7)+COS($D$4/$J$7)*COS(G12/$J$7)*COS(J12/$J$7)</f>
        <v>-0.9604393643910106</v>
      </c>
      <c r="L12" s="63">
        <f t="shared" si="0"/>
        <v>163.8299446469906</v>
      </c>
      <c r="M12" s="67">
        <f>IF(SIN(N12/$J$7)&gt;0,$J$7*ACOS((SIN($D$4/$J$7)-SIN(G12/$J$7)*O12)/(COS(G12/$J$7)*SIN(P12/$J$7))),360-($J$7*ACOS((SIN($D$4/$J$7)-SIN(G12/$J$7)*O12)/(COS(G12/$J$7)*SIN(P12/$J$7)))))</f>
        <v>327.1613923948099</v>
      </c>
      <c r="N12" s="68">
        <f>+F12-$D$3</f>
        <v>-169.56</v>
      </c>
      <c r="O12" s="69">
        <f>SIN(G12/$J$7)*SIN($D$4/$J$7)+COS(G12/$J$7)*COS($D$4/$J$7)*COS(N12/$J$7)</f>
        <v>-0.9604393643910106</v>
      </c>
      <c r="P12" s="59">
        <f t="shared" si="1"/>
        <v>163.8299446469906</v>
      </c>
      <c r="Q12" s="38"/>
    </row>
    <row r="13" spans="1:17" ht="12" customHeight="1">
      <c r="A13" s="46">
        <f t="shared" si="2"/>
        <v>6</v>
      </c>
      <c r="B13" s="46" t="s">
        <v>28</v>
      </c>
      <c r="C13" s="46" t="s">
        <v>29</v>
      </c>
      <c r="D13" s="61" t="s">
        <v>24</v>
      </c>
      <c r="E13" s="61" t="s">
        <v>27</v>
      </c>
      <c r="F13" s="64">
        <f>-63.4</f>
        <v>-63.4</v>
      </c>
      <c r="G13" s="64">
        <f>-19.7</f>
        <v>-19.7</v>
      </c>
      <c r="H13" s="65">
        <f>IF(SIN(J13/$J$7)&gt;0,$J$7*ACOS((SIN(G13/$J$7)-SIN($D$4/$J$7)*K13)/(COS($D$4/$J$7)*SIN(L13/$J$7))),360-($J$7*ACOS((SIN(G13/$J$7)-SIN($D$4/$J$7)*K13)/(COS($D$4/$J$7)*SIN(L13/$J$7)))))</f>
        <v>17.403591894467976</v>
      </c>
      <c r="I13" s="66">
        <f>69.041*$J$7*(ACOS(SIN($D$4/$J$7)*SIN(G13/$J$7)+COS($D$4/$J$7)*COS(G13/$J$7)*COS(J13/$J$7)))</f>
        <v>11431.293474745353</v>
      </c>
      <c r="J13" s="63">
        <f>+$D$3-F13</f>
        <v>175.46</v>
      </c>
      <c r="K13" s="63">
        <f>SIN($D$4/$J$7)*SIN(G13/$J$7)+COS($D$4/$J$7)*COS(G13/$J$7)*COS(J13/$J$7)</f>
        <v>-0.9684638445959719</v>
      </c>
      <c r="L13" s="63">
        <f t="shared" si="0"/>
        <v>165.57253624288978</v>
      </c>
      <c r="M13" s="67">
        <f>IF(SIN(N13/$J$7)&gt;0,$J$7*ACOS((SIN($D$4/$J$7)-SIN(G13/$J$7)*O13)/(COS(G13/$J$7)*SIN(P13/$J$7))),360-($J$7*ACOS((SIN($D$4/$J$7)-SIN(G13/$J$7)*O13)/(COS(G13/$J$7)*SIN(P13/$J$7)))))</f>
        <v>344.646811449065</v>
      </c>
      <c r="N13" s="68">
        <f>+F13-$D$3</f>
        <v>-175.46</v>
      </c>
      <c r="O13" s="69">
        <f>SIN(G13/$J$7)*SIN($D$4/$J$7)+COS(G13/$J$7)*COS($D$4/$J$7)*COS(N13/$J$7)</f>
        <v>-0.9684638445959719</v>
      </c>
      <c r="P13" s="59">
        <f t="shared" si="1"/>
        <v>165.57253624288978</v>
      </c>
      <c r="Q13" s="38"/>
    </row>
    <row r="14" spans="1:17" ht="12" customHeight="1">
      <c r="A14" s="46">
        <f t="shared" si="2"/>
        <v>7</v>
      </c>
      <c r="B14" s="46" t="s">
        <v>30</v>
      </c>
      <c r="C14" s="46" t="s">
        <v>31</v>
      </c>
      <c r="D14" s="61" t="s">
        <v>24</v>
      </c>
      <c r="E14" s="61" t="s">
        <v>32</v>
      </c>
      <c r="F14" s="64">
        <f>-10</f>
        <v>-10</v>
      </c>
      <c r="G14" s="64">
        <v>1.8</v>
      </c>
      <c r="H14" s="65">
        <f>IF(SIN(J14/$J$7)&gt;0,$J$7*ACOS((SIN(G14/$J$7)-SIN($D$4/$J$7)*K14)/(COS($D$4/$J$7)*SIN(L14/$J$7))),360-($J$7*ACOS((SIN(G14/$J$7)-SIN($D$4/$J$7)*K14)/(COS($D$4/$J$7)*SIN(L14/$J$7)))))</f>
        <v>69.34093944876953</v>
      </c>
      <c r="I14" s="66">
        <f>69.041*$J$7*(ACOS(SIN($D$4/$J$7)*SIN(G14/$J$7)+COS($D$4/$J$7)*COS(G14/$J$7)*COS(J14/$J$7)))</f>
        <v>7949.237475331456</v>
      </c>
      <c r="J14" s="63">
        <f>+$D$3-F14</f>
        <v>122.06</v>
      </c>
      <c r="K14" s="63">
        <f>SIN($D$4/$J$7)*SIN(G14/$J$7)+COS($D$4/$J$7)*COS(G14/$J$7)*COS(J14/$J$7)</f>
        <v>-0.4247987393072666</v>
      </c>
      <c r="L14" s="63">
        <f t="shared" si="0"/>
        <v>115.13792493346644</v>
      </c>
      <c r="M14" s="67">
        <f>IF(SIN(N14/$J$7)&gt;0,$J$7*ACOS((SIN($D$4/$J$7)-SIN(G14/$J$7)*O14)/(COS(G14/$J$7)*SIN(P14/$J$7))),360-($J$7*ACOS((SIN($D$4/$J$7)-SIN(G14/$J$7)*O14)/(COS(G14/$J$7)*SIN(P14/$J$7)))))</f>
        <v>308.7212989207865</v>
      </c>
      <c r="N14" s="68">
        <f>+F14-$D$3</f>
        <v>-122.06</v>
      </c>
      <c r="O14" s="69">
        <f>SIN(G14/$J$7)*SIN($D$4/$J$7)+COS(G14/$J$7)*COS($D$4/$J$7)*COS(N14/$J$7)</f>
        <v>-0.4247987393072666</v>
      </c>
      <c r="P14" s="59">
        <f t="shared" si="1"/>
        <v>115.13792493346644</v>
      </c>
      <c r="Q14" s="38"/>
    </row>
    <row r="15" spans="1:17" ht="12" customHeight="1">
      <c r="A15" s="46">
        <f t="shared" si="2"/>
        <v>8</v>
      </c>
      <c r="B15" s="46" t="s">
        <v>33</v>
      </c>
      <c r="C15" s="46" t="s">
        <v>34</v>
      </c>
      <c r="D15" s="61" t="s">
        <v>24</v>
      </c>
      <c r="E15" s="61" t="s">
        <v>32</v>
      </c>
      <c r="F15" s="64">
        <f>-5.6</f>
        <v>-5.6</v>
      </c>
      <c r="G15" s="64">
        <v>1.5</v>
      </c>
      <c r="H15" s="65">
        <f>IF(SIN(J15/$J$7)&gt;0,$J$7*ACOS((SIN(G15/$J$7)-SIN($D$4/$J$7)*K15)/(COS($D$4/$J$7)*SIN(L15/$J$7))),360-($J$7*ACOS((SIN(G15/$J$7)-SIN($D$4/$J$7)*K15)/(COS($D$4/$J$7)*SIN(L15/$J$7)))))</f>
        <v>72.55193052080826</v>
      </c>
      <c r="I15" s="66">
        <f>69.041*$J$7*(ACOS(SIN($D$4/$J$7)*SIN(G15/$J$7)+COS($D$4/$J$7)*COS(G15/$J$7)*COS(J15/$J$7)))</f>
        <v>7722.6974894651385</v>
      </c>
      <c r="J15" s="63">
        <f>+$D$3-F15</f>
        <v>117.66</v>
      </c>
      <c r="K15" s="63">
        <f>SIN($D$4/$J$7)*SIN(G15/$J$7)+COS($D$4/$J$7)*COS(G15/$J$7)*COS(J15/$J$7)</f>
        <v>-0.37228626526842323</v>
      </c>
      <c r="L15" s="63">
        <f t="shared" si="0"/>
        <v>111.8566864539207</v>
      </c>
      <c r="M15" s="67">
        <f>IF(SIN(N15/$J$7)&gt;0,$J$7*ACOS((SIN($D$4/$J$7)-SIN(G15/$J$7)*O15)/(COS(G15/$J$7)*SIN(P15/$J$7))),360-($J$7*ACOS((SIN($D$4/$J$7)-SIN(G15/$J$7)*O15)/(COS(G15/$J$7)*SIN(P15/$J$7)))))</f>
        <v>307.31349464519377</v>
      </c>
      <c r="N15" s="68">
        <f>+F15-$D$3</f>
        <v>-117.66</v>
      </c>
      <c r="O15" s="69">
        <f>SIN(G15/$J$7)*SIN($D$4/$J$7)+COS(G15/$J$7)*COS($D$4/$J$7)*COS(N15/$J$7)</f>
        <v>-0.37228626526842323</v>
      </c>
      <c r="P15" s="59">
        <f t="shared" si="1"/>
        <v>111.8566864539207</v>
      </c>
      <c r="Q15" s="38"/>
    </row>
    <row r="16" spans="1:17" ht="12" customHeight="1">
      <c r="A16" s="46">
        <f t="shared" si="2"/>
        <v>9</v>
      </c>
      <c r="B16" s="46" t="s">
        <v>35</v>
      </c>
      <c r="C16" s="46" t="s">
        <v>36</v>
      </c>
      <c r="D16" s="61" t="s">
        <v>37</v>
      </c>
      <c r="E16" s="61" t="s">
        <v>38</v>
      </c>
      <c r="F16" s="64">
        <f>-178</f>
        <v>-178</v>
      </c>
      <c r="G16" s="64">
        <f>-17</f>
        <v>-17</v>
      </c>
      <c r="H16" s="65">
        <f>IF(SIN(J16/$J$7)&gt;0,$J$7*ACOS((SIN(G16/$J$7)-SIN($D$4/$J$7)*K16)/(COS($D$4/$J$7)*SIN(L16/$J$7))),360-($J$7*ACOS((SIN(G16/$J$7)-SIN($D$4/$J$7)*K16)/(COS($D$4/$J$7)*SIN(L16/$J$7)))))</f>
        <v>244.68294500723096</v>
      </c>
      <c r="I16" s="66">
        <f>69.041*$J$7*(ACOS(SIN($D$4/$J$7)*SIN(G16/$J$7)+COS($D$4/$J$7)*COS(G16/$J$7)*COS(J16/$J$7)))</f>
        <v>5770.562928643798</v>
      </c>
      <c r="J16" s="63">
        <f>+$D$3-F16</f>
        <v>290.06</v>
      </c>
      <c r="K16" s="63">
        <f>SIN($D$4/$J$7)*SIN(G16/$J$7)+COS($D$4/$J$7)*COS(G16/$J$7)*COS(J16/$J$7)</f>
        <v>0.11178663801482427</v>
      </c>
      <c r="L16" s="63">
        <f t="shared" si="0"/>
        <v>83.58168231404235</v>
      </c>
      <c r="M16" s="67">
        <f>IF(SIN(N16/$J$7)&gt;0,$J$7*ACOS((SIN($D$4/$J$7)-SIN(G16/$J$7)*O16)/(COS(G16/$J$7)*SIN(P16/$J$7))),360-($J$7*ACOS((SIN($D$4/$J$7)-SIN(G16/$J$7)*O16)/(COS(G16/$J$7)*SIN(P16/$J$7)))))</f>
        <v>51.97873123540112</v>
      </c>
      <c r="N16" s="68">
        <f>+F16-$D$3</f>
        <v>-290.06</v>
      </c>
      <c r="O16" s="69">
        <f>SIN(G16/$J$7)*SIN($D$4/$J$7)+COS(G16/$J$7)*COS($D$4/$J$7)*COS(N16/$J$7)</f>
        <v>0.11178663801482427</v>
      </c>
      <c r="P16" s="59">
        <f t="shared" si="1"/>
        <v>83.58168231404235</v>
      </c>
      <c r="Q16" s="38"/>
    </row>
    <row r="17" spans="1:17" ht="12" customHeight="1">
      <c r="A17" s="46">
        <f t="shared" si="2"/>
        <v>10</v>
      </c>
      <c r="B17" s="46" t="s">
        <v>39</v>
      </c>
      <c r="C17" s="46" t="s">
        <v>40</v>
      </c>
      <c r="D17" s="61" t="s">
        <v>37</v>
      </c>
      <c r="E17" s="61" t="s">
        <v>38</v>
      </c>
      <c r="F17" s="64">
        <v>-175</v>
      </c>
      <c r="G17" s="64">
        <v>-22</v>
      </c>
      <c r="H17" s="65">
        <f>IF(SIN(J17/$J$7)&gt;0,$J$7*ACOS((SIN(G17/$J$7)-SIN($D$4/$J$7)*K17)/(COS($D$4/$J$7)*SIN(L17/$J$7))),360-($J$7*ACOS((SIN(G17/$J$7)-SIN($D$4/$J$7)*K17)/(COS($D$4/$J$7)*SIN(L17/$J$7)))))</f>
        <v>242.44378527156584</v>
      </c>
      <c r="I17" s="66">
        <f>69.041*$J$7*(ACOS(SIN($D$4/$J$7)*SIN(G17/$J$7)+COS($D$4/$J$7)*COS(G17/$J$7)*COS(J17/$J$7)))</f>
        <v>6135.902910144238</v>
      </c>
      <c r="J17" s="63">
        <f>+$D$3-F17</f>
        <v>287.06</v>
      </c>
      <c r="K17" s="63">
        <f>SIN($D$4/$J$7)*SIN(G17/$J$7)+COS($D$4/$J$7)*COS(G17/$J$7)*COS(J17/$J$7)</f>
        <v>0.01966300225955689</v>
      </c>
      <c r="L17" s="63">
        <f t="shared" si="0"/>
        <v>88.8733203479706</v>
      </c>
      <c r="M17" s="67">
        <f>IF(SIN(N17/$J$7)&gt;0,$J$7*ACOS((SIN($D$4/$J$7)-SIN(G17/$J$7)*O17)/(COS(G17/$J$7)*SIN(P17/$J$7))),360-($J$7*ACOS((SIN($D$4/$J$7)-SIN(G17/$J$7)*O17)/(COS(G17/$J$7)*SIN(P17/$J$7)))))</f>
        <v>52.83380800134321</v>
      </c>
      <c r="N17" s="68">
        <f>+F17-$D$3</f>
        <v>-287.06</v>
      </c>
      <c r="O17" s="69">
        <f>SIN(G17/$J$7)*SIN($D$4/$J$7)+COS(G17/$J$7)*COS($D$4/$J$7)*COS(N17/$J$7)</f>
        <v>0.01966300225955689</v>
      </c>
      <c r="P17" s="59">
        <f t="shared" si="1"/>
        <v>88.8733203479706</v>
      </c>
      <c r="Q17" s="38"/>
    </row>
    <row r="18" spans="1:17" ht="12" customHeight="1">
      <c r="A18" s="46">
        <f t="shared" si="2"/>
        <v>11</v>
      </c>
      <c r="B18" s="46" t="s">
        <v>41</v>
      </c>
      <c r="C18" s="46" t="s">
        <v>42</v>
      </c>
      <c r="D18" s="61" t="s">
        <v>37</v>
      </c>
      <c r="E18" s="61">
        <v>32</v>
      </c>
      <c r="F18" s="64">
        <v>-177</v>
      </c>
      <c r="G18" s="64">
        <v>-12</v>
      </c>
      <c r="H18" s="65">
        <f>IF(SIN(J18/$J$7)&gt;0,$J$7*ACOS((SIN(G18/$J$7)-SIN($D$4/$J$7)*K18)/(COS($D$4/$J$7)*SIN(L18/$J$7))),360-($J$7*ACOS((SIN(G18/$J$7)-SIN($D$4/$J$7)*K18)/(COS($D$4/$J$7)*SIN(L18/$J$7)))))</f>
        <v>249.27508050820586</v>
      </c>
      <c r="I18" s="66">
        <f>69.041*$J$7*(ACOS(SIN($D$4/$J$7)*SIN(G18/$J$7)+COS($D$4/$J$7)*COS(G18/$J$7)*COS(J18/$J$7)))</f>
        <v>5612.867893092129</v>
      </c>
      <c r="J18" s="63">
        <f>+$D$3-F18</f>
        <v>289.06</v>
      </c>
      <c r="K18" s="63">
        <f>SIN($D$4/$J$7)*SIN(G18/$J$7)+COS($D$4/$J$7)*COS(G18/$J$7)*COS(J18/$J$7)</f>
        <v>0.15130215320988277</v>
      </c>
      <c r="L18" s="63">
        <f t="shared" si="0"/>
        <v>81.29760422201487</v>
      </c>
      <c r="M18" s="67">
        <f>IF(SIN(N18/$J$7)&gt;0,$J$7*ACOS((SIN($D$4/$J$7)-SIN(G18/$J$7)*O18)/(COS(G18/$J$7)*SIN(P18/$J$7))),360-($J$7*ACOS((SIN($D$4/$J$7)-SIN(G18/$J$7)*O18)/(COS(G18/$J$7)*SIN(P18/$J$7)))))</f>
        <v>52.83398357180381</v>
      </c>
      <c r="N18" s="68">
        <f>+F18-$D$3</f>
        <v>-289.06</v>
      </c>
      <c r="O18" s="69">
        <f>SIN(G18/$J$7)*SIN($D$4/$J$7)+COS(G18/$J$7)*COS($D$4/$J$7)*COS(N18/$J$7)</f>
        <v>0.15130215320988277</v>
      </c>
      <c r="P18" s="59">
        <f t="shared" si="1"/>
        <v>81.29760422201487</v>
      </c>
      <c r="Q18" s="38"/>
    </row>
    <row r="19" spans="1:17" ht="12" customHeight="1">
      <c r="A19" s="46">
        <f t="shared" si="2"/>
        <v>12</v>
      </c>
      <c r="B19" s="46" t="s">
        <v>43</v>
      </c>
      <c r="C19" s="46" t="s">
        <v>44</v>
      </c>
      <c r="D19" s="61" t="s">
        <v>24</v>
      </c>
      <c r="E19" s="61" t="s">
        <v>45</v>
      </c>
      <c r="F19" s="64">
        <f>-31.5</f>
        <v>-31.5</v>
      </c>
      <c r="G19" s="64">
        <f>-27</f>
        <v>-27</v>
      </c>
      <c r="H19" s="65">
        <f>IF(SIN(J19/$J$7)&gt;0,$J$7*ACOS((SIN(G19/$J$7)-SIN($D$4/$J$7)*K19)/(COS($D$4/$J$7)*SIN(L19/$J$7))),360-($J$7*ACOS((SIN(G19/$J$7)-SIN($D$4/$J$7)*K19)/(COS($D$4/$J$7)*SIN(L19/$J$7)))))</f>
        <v>88.07472628273919</v>
      </c>
      <c r="I19" s="66">
        <f>69.041*$J$7*(ACOS(SIN($D$4/$J$7)*SIN(G19/$J$7)+COS($D$4/$J$7)*COS(G19/$J$7)*COS(J19/$J$7)))</f>
        <v>10219.838828865488</v>
      </c>
      <c r="J19" s="63">
        <f>+$D$3-F19</f>
        <v>143.56</v>
      </c>
      <c r="K19" s="63">
        <f>SIN($D$4/$J$7)*SIN(G19/$J$7)+COS($D$4/$J$7)*COS(G19/$J$7)*COS(J19/$J$7)</f>
        <v>-0.8482852340661525</v>
      </c>
      <c r="L19" s="63">
        <f t="shared" si="0"/>
        <v>148.02564894577844</v>
      </c>
      <c r="M19" s="67">
        <f>IF(SIN(N19/$J$7)&gt;0,$J$7*ACOS((SIN($D$4/$J$7)-SIN(G19/$J$7)*O19)/(COS(G19/$J$7)*SIN(P19/$J$7))),360-($J$7*ACOS((SIN($D$4/$J$7)-SIN(G19/$J$7)*O19)/(COS(G19/$J$7)*SIN(P19/$J$7)))))</f>
        <v>290.80043273376884</v>
      </c>
      <c r="N19" s="68">
        <f>+F19-$D$3</f>
        <v>-143.56</v>
      </c>
      <c r="O19" s="69">
        <f>SIN(G19/$J$7)*SIN($D$4/$J$7)+COS(G19/$J$7)*COS($D$4/$J$7)*COS(N19/$J$7)</f>
        <v>-0.8482852340661525</v>
      </c>
      <c r="P19" s="59">
        <f t="shared" si="1"/>
        <v>148.02564894577844</v>
      </c>
      <c r="Q19" s="38"/>
    </row>
    <row r="20" spans="1:17" ht="12" customHeight="1">
      <c r="A20" s="46">
        <f t="shared" si="2"/>
        <v>13</v>
      </c>
      <c r="B20" s="46" t="s">
        <v>46</v>
      </c>
      <c r="C20" s="46" t="s">
        <v>47</v>
      </c>
      <c r="D20" s="61" t="s">
        <v>24</v>
      </c>
      <c r="E20" s="61" t="s">
        <v>48</v>
      </c>
      <c r="F20" s="64">
        <f>-10.2</f>
        <v>-10.2</v>
      </c>
      <c r="G20" s="64">
        <v>36.8</v>
      </c>
      <c r="H20" s="65">
        <f>IF(SIN(J20/$J$7)&gt;0,$J$7*ACOS((SIN(G20/$J$7)-SIN($D$4/$J$7)*K20)/(COS($D$4/$J$7)*SIN(L20/$J$7))),360-($J$7*ACOS((SIN(G20/$J$7)-SIN($D$4/$J$7)*K20)/(COS($D$4/$J$7)*SIN(L20/$J$7)))))</f>
        <v>42.63614922833703</v>
      </c>
      <c r="I20" s="66">
        <f>69.041*$J$7*(ACOS(SIN($D$4/$J$7)*SIN(G20/$J$7)+COS($D$4/$J$7)*COS(G20/$J$7)*COS(J20/$J$7)))</f>
        <v>6313.1395240205275</v>
      </c>
      <c r="J20" s="63">
        <f>+$D$3-F20</f>
        <v>122.26</v>
      </c>
      <c r="K20" s="63">
        <f>SIN($D$4/$J$7)*SIN(G20/$J$7)+COS($D$4/$J$7)*COS(G20/$J$7)*COS(J20/$J$7)</f>
        <v>-0.025137799249043913</v>
      </c>
      <c r="L20" s="63">
        <f t="shared" si="0"/>
        <v>91.44044153503755</v>
      </c>
      <c r="M20" s="67">
        <f>IF(SIN(N20/$J$7)&gt;0,$J$7*ACOS((SIN($D$4/$J$7)-SIN(G20/$J$7)*O20)/(COS(G20/$J$7)*SIN(P20/$J$7))),360-($J$7*ACOS((SIN($D$4/$J$7)-SIN(G20/$J$7)*O20)/(COS(G20/$J$7)*SIN(P20/$J$7)))))</f>
        <v>315.1722357459939</v>
      </c>
      <c r="N20" s="68">
        <f>+F20-$D$3</f>
        <v>-122.26</v>
      </c>
      <c r="O20" s="69">
        <f>SIN(G20/$J$7)*SIN($D$4/$J$7)+COS(G20/$J$7)*COS($D$4/$J$7)*COS(N20/$J$7)</f>
        <v>-0.025137799249043913</v>
      </c>
      <c r="P20" s="59">
        <f t="shared" si="1"/>
        <v>91.44044153503755</v>
      </c>
      <c r="Q20" s="38"/>
    </row>
    <row r="21" spans="1:17" ht="12" customHeight="1">
      <c r="A21" s="46">
        <f t="shared" si="2"/>
        <v>14</v>
      </c>
      <c r="B21" s="46" t="s">
        <v>49</v>
      </c>
      <c r="C21" s="46" t="s">
        <v>50</v>
      </c>
      <c r="D21" s="61" t="s">
        <v>24</v>
      </c>
      <c r="E21" s="61" t="s">
        <v>51</v>
      </c>
      <c r="F21" s="64">
        <v>13</v>
      </c>
      <c r="G21" s="64">
        <v>10</v>
      </c>
      <c r="H21" s="65">
        <f>IF(SIN(J21/$J$7)&gt;0,$J$7*ACOS((SIN(G21/$J$7)-SIN($D$4/$J$7)*K21)/(COS($D$4/$J$7)*SIN(L21/$J$7))),360-($J$7*ACOS((SIN(G21/$J$7)-SIN($D$4/$J$7)*K21)/(COS($D$4/$J$7)*SIN(L21/$J$7)))))</f>
        <v>76.67043248628381</v>
      </c>
      <c r="I21" s="66">
        <f>69.041*$J$7*(ACOS(SIN($D$4/$J$7)*SIN(G21/$J$7)+COS($D$4/$J$7)*COS(G21/$J$7)*COS(J21/$J$7)))</f>
        <v>6345.330562625778</v>
      </c>
      <c r="J21" s="63">
        <f>+$D$3-F21</f>
        <v>99.06</v>
      </c>
      <c r="K21" s="63">
        <f>SIN($D$4/$J$7)*SIN(G21/$J$7)+COS($D$4/$J$7)*COS(G21/$J$7)*COS(J21/$J$7)</f>
        <v>-0.03327207314630691</v>
      </c>
      <c r="L21" s="63">
        <f t="shared" si="0"/>
        <v>91.9067012735299</v>
      </c>
      <c r="M21" s="67">
        <f>IF(SIN(N21/$J$7)&gt;0,$J$7*ACOS((SIN($D$4/$J$7)-SIN(G21/$J$7)*O21)/(COS(G21/$J$7)*SIN(P21/$J$7))),360-($J$7*ACOS((SIN($D$4/$J$7)-SIN(G21/$J$7)*O21)/(COS(G21/$J$7)*SIN(P21/$J$7)))))</f>
        <v>304.56710851320264</v>
      </c>
      <c r="N21" s="68">
        <f>+F21-$D$3</f>
        <v>-99.06</v>
      </c>
      <c r="O21" s="69">
        <f>SIN(G21/$J$7)*SIN($D$4/$J$7)+COS(G21/$J$7)*COS($D$4/$J$7)*COS(N21/$J$7)</f>
        <v>-0.03327207314630691</v>
      </c>
      <c r="P21" s="59">
        <f t="shared" si="1"/>
        <v>91.9067012735299</v>
      </c>
      <c r="Q21" s="38"/>
    </row>
    <row r="22" spans="1:17" ht="12" customHeight="1">
      <c r="A22" s="46">
        <f t="shared" si="2"/>
        <v>15</v>
      </c>
      <c r="B22" s="46" t="s">
        <v>52</v>
      </c>
      <c r="C22" s="46" t="s">
        <v>53</v>
      </c>
      <c r="D22" s="61" t="s">
        <v>24</v>
      </c>
      <c r="E22" s="61" t="s">
        <v>45</v>
      </c>
      <c r="F22" s="64">
        <f>-3.4</f>
        <v>-3.4</v>
      </c>
      <c r="G22" s="64">
        <f>-54</f>
        <v>-54</v>
      </c>
      <c r="H22" s="65">
        <f>IF(SIN(J22/$J$7)&gt;0,$J$7*ACOS((SIN(G22/$J$7)-SIN($D$4/$J$7)*K22)/(COS($D$4/$J$7)*SIN(L22/$J$7))),360-($J$7*ACOS((SIN(G22/$J$7)-SIN($D$4/$J$7)*K22)/(COS($D$4/$J$7)*SIN(L22/$J$7)))))</f>
        <v>135.20916885108542</v>
      </c>
      <c r="I22" s="66">
        <f>69.041*$J$7*(ACOS(SIN($D$4/$J$7)*SIN(G22/$J$7)+COS($D$4/$J$7)*COS(G22/$J$7)*COS(J22/$J$7)))</f>
        <v>9052.966889682679</v>
      </c>
      <c r="J22" s="63">
        <f>+$D$3-F22</f>
        <v>115.46000000000001</v>
      </c>
      <c r="K22" s="63">
        <f>SIN($D$4/$J$7)*SIN(G22/$J$7)+COS($D$4/$J$7)*COS(G22/$J$7)*COS(J22/$J$7)</f>
        <v>-0.6576974679680698</v>
      </c>
      <c r="L22" s="63">
        <f t="shared" si="0"/>
        <v>131.12450413062788</v>
      </c>
      <c r="M22" s="67">
        <f>IF(SIN(N22/$J$7)&gt;0,$J$7*ACOS((SIN($D$4/$J$7)-SIN(G22/$J$7)*O22)/(COS(G22/$J$7)*SIN(P22/$J$7))),360-($J$7*ACOS((SIN($D$4/$J$7)-SIN(G22/$J$7)*O22)/(COS(G22/$J$7)*SIN(P22/$J$7)))))</f>
        <v>272.66357346285633</v>
      </c>
      <c r="N22" s="68">
        <f>+F22-$D$3</f>
        <v>-115.46000000000001</v>
      </c>
      <c r="O22" s="69">
        <f>SIN(G22/$J$7)*SIN($D$4/$J$7)+COS(G22/$J$7)*COS($D$4/$J$7)*COS(N22/$J$7)</f>
        <v>-0.6576974679680698</v>
      </c>
      <c r="P22" s="59">
        <f t="shared" si="1"/>
        <v>131.12450413062788</v>
      </c>
      <c r="Q22" s="38"/>
    </row>
    <row r="23" spans="1:17" ht="12" customHeight="1">
      <c r="A23" s="46">
        <f t="shared" si="2"/>
        <v>16</v>
      </c>
      <c r="B23" s="46" t="s">
        <v>54</v>
      </c>
      <c r="C23" s="46" t="s">
        <v>55</v>
      </c>
      <c r="D23" s="61" t="s">
        <v>56</v>
      </c>
      <c r="E23" s="61" t="s">
        <v>57</v>
      </c>
      <c r="F23" s="64">
        <v>90.5</v>
      </c>
      <c r="G23" s="64">
        <f>-68</f>
        <v>-68</v>
      </c>
      <c r="H23" s="65">
        <f>IF(SIN(J23/$J$7)&gt;0,$J$7*ACOS((SIN(G23/$J$7)-SIN($D$4/$J$7)*K23)/(COS($D$4/$J$7)*SIN(L23/$J$7))),360-($J$7*ACOS((SIN(G23/$J$7)-SIN($D$4/$J$7)*K23)/(COS($D$4/$J$7)*SIN(L23/$J$7)))))</f>
        <v>171.8836443860009</v>
      </c>
      <c r="I23" s="66">
        <f>69.041*$J$7*(ACOS(SIN($D$4/$J$7)*SIN(G23/$J$7)+COS($D$4/$J$7)*COS(G23/$J$7)*COS(J23/$J$7)))</f>
        <v>7099.516323344936</v>
      </c>
      <c r="J23" s="63">
        <f>+$D$3-F23</f>
        <v>21.560000000000002</v>
      </c>
      <c r="K23" s="63">
        <f>SIN($D$4/$J$7)*SIN(G23/$J$7)+COS($D$4/$J$7)*COS(G23/$J$7)*COS(J23/$J$7)</f>
        <v>-0.22206652106973762</v>
      </c>
      <c r="L23" s="63">
        <f t="shared" si="0"/>
        <v>102.83043877326423</v>
      </c>
      <c r="M23" s="67">
        <f>IF(SIN(N23/$J$7)&gt;0,$J$7*ACOS((SIN($D$4/$J$7)-SIN(G23/$J$7)*O23)/(COS(G23/$J$7)*SIN(P23/$J$7))),360-($J$7*ACOS((SIN($D$4/$J$7)-SIN(G23/$J$7)*O23)/(COS(G23/$J$7)*SIN(P23/$J$7)))))</f>
        <v>341.6936350532481</v>
      </c>
      <c r="N23" s="68">
        <f>+F23-$D$3</f>
        <v>-21.560000000000002</v>
      </c>
      <c r="O23" s="69">
        <f>SIN(G23/$J$7)*SIN($D$4/$J$7)+COS(G23/$J$7)*COS($D$4/$J$7)*COS(N23/$J$7)</f>
        <v>-0.22206652106973762</v>
      </c>
      <c r="P23" s="59">
        <f t="shared" si="1"/>
        <v>102.83043877326423</v>
      </c>
      <c r="Q23" s="38"/>
    </row>
    <row r="24" spans="1:17" ht="12" customHeight="1">
      <c r="A24" s="46">
        <f t="shared" si="2"/>
        <v>17</v>
      </c>
      <c r="B24" s="46" t="s">
        <v>58</v>
      </c>
      <c r="C24" s="46" t="s">
        <v>59</v>
      </c>
      <c r="D24" s="61" t="s">
        <v>17</v>
      </c>
      <c r="E24" s="61" t="s">
        <v>60</v>
      </c>
      <c r="F24" s="64">
        <f>-50</f>
        <v>-50</v>
      </c>
      <c r="G24" s="64">
        <v>40.5</v>
      </c>
      <c r="H24" s="65">
        <f>IF(SIN(J24/$J$7)&gt;0,$J$7*ACOS((SIN(G24/$J$7)-SIN($D$4/$J$7)*K24)/(COS($D$4/$J$7)*SIN(L24/$J$7))),360-($J$7*ACOS((SIN(G24/$J$7)-SIN($D$4/$J$7)*K24)/(COS($D$4/$J$7)*SIN(L24/$J$7)))))</f>
        <v>13.97626790290721</v>
      </c>
      <c r="I24" s="66">
        <f>69.041*$J$7*(ACOS(SIN($D$4/$J$7)*SIN(G24/$J$7)+COS($D$4/$J$7)*COS(G24/$J$7)*COS(J24/$J$7)))</f>
        <v>7188.682989244529</v>
      </c>
      <c r="J24" s="63">
        <f>+$D$3-F24</f>
        <v>162.06</v>
      </c>
      <c r="K24" s="63">
        <f>SIN($D$4/$J$7)*SIN(G24/$J$7)+COS($D$4/$J$7)*COS(G24/$J$7)*COS(J24/$J$7)</f>
        <v>-0.24398641418614353</v>
      </c>
      <c r="L24" s="63">
        <f t="shared" si="0"/>
        <v>104.1219418786595</v>
      </c>
      <c r="M24" s="67">
        <f>IF(SIN(N24/$J$7)&gt;0,$J$7*ACOS((SIN($D$4/$J$7)-SIN(G24/$J$7)*O24)/(COS(G24/$J$7)*SIN(P24/$J$7))),360-($J$7*ACOS((SIN($D$4/$J$7)-SIN(G24/$J$7)*O24)/(COS(G24/$J$7)*SIN(P24/$J$7)))))</f>
        <v>344.65054292083636</v>
      </c>
      <c r="N24" s="68">
        <f>+F24-$D$3</f>
        <v>-162.06</v>
      </c>
      <c r="O24" s="69">
        <f>SIN(G24/$J$7)*SIN($D$4/$J$7)+COS(G24/$J$7)*COS($D$4/$J$7)*COS(N24/$J$7)</f>
        <v>-0.24398641418614353</v>
      </c>
      <c r="P24" s="59">
        <f t="shared" si="1"/>
        <v>104.1219418786595</v>
      </c>
      <c r="Q24" s="38"/>
    </row>
    <row r="25" spans="1:17" ht="12" customHeight="1">
      <c r="A25" s="46">
        <f t="shared" si="2"/>
        <v>18</v>
      </c>
      <c r="B25" s="46" t="s">
        <v>61</v>
      </c>
      <c r="C25" s="46" t="s">
        <v>62</v>
      </c>
      <c r="D25" s="61" t="s">
        <v>17</v>
      </c>
      <c r="E25" s="61" t="s">
        <v>60</v>
      </c>
      <c r="F25" s="64">
        <f>-45</f>
        <v>-45</v>
      </c>
      <c r="G25" s="64">
        <v>41.5</v>
      </c>
      <c r="H25" s="65">
        <f>IF(SIN(J25/$J$7)&gt;0,$J$7*ACOS((SIN(G25/$J$7)-SIN($D$4/$J$7)*K25)/(COS($D$4/$J$7)*SIN(L25/$J$7))),360-($J$7*ACOS((SIN(G25/$J$7)-SIN($D$4/$J$7)*K25)/(COS($D$4/$J$7)*SIN(L25/$J$7)))))</f>
        <v>17.366649565437097</v>
      </c>
      <c r="I25" s="66">
        <f>69.041*$J$7*(ACOS(SIN($D$4/$J$7)*SIN(G25/$J$7)+COS($D$4/$J$7)*COS(G25/$J$7)*COS(J25/$J$7)))</f>
        <v>7045.012801427656</v>
      </c>
      <c r="J25" s="63">
        <f>+$D$3-F25</f>
        <v>157.06</v>
      </c>
      <c r="K25" s="63">
        <f>SIN($D$4/$J$7)*SIN(G25/$J$7)+COS($D$4/$J$7)*COS(G25/$J$7)*COS(J25/$J$7)</f>
        <v>-0.20861161504436526</v>
      </c>
      <c r="L25" s="63">
        <f t="shared" si="0"/>
        <v>102.04100174429189</v>
      </c>
      <c r="M25" s="67">
        <f>IF(SIN(N25/$J$7)&gt;0,$J$7*ACOS((SIN($D$4/$J$7)-SIN(G25/$J$7)*O25)/(COS(G25/$J$7)*SIN(P25/$J$7))),360-($J$7*ACOS((SIN($D$4/$J$7)-SIN(G25/$J$7)*O25)/(COS(G25/$J$7)*SIN(P25/$J$7)))))</f>
        <v>340.6012312009075</v>
      </c>
      <c r="N25" s="68">
        <f>+F25-$D$3</f>
        <v>-157.06</v>
      </c>
      <c r="O25" s="69">
        <f>SIN(G25/$J$7)*SIN($D$4/$J$7)+COS(G25/$J$7)*COS($D$4/$J$7)*COS(N25/$J$7)</f>
        <v>-0.20861161504436526</v>
      </c>
      <c r="P25" s="59">
        <f t="shared" si="1"/>
        <v>102.04100174429189</v>
      </c>
      <c r="Q25" s="38"/>
    </row>
    <row r="26" spans="1:17" ht="12" customHeight="1">
      <c r="A26" s="46">
        <f t="shared" si="2"/>
        <v>19</v>
      </c>
      <c r="B26" s="46" t="s">
        <v>63</v>
      </c>
      <c r="C26" s="46" t="s">
        <v>64</v>
      </c>
      <c r="D26" s="61" t="s">
        <v>17</v>
      </c>
      <c r="E26" s="61" t="s">
        <v>65</v>
      </c>
      <c r="F26" s="64">
        <f>-79.9</f>
        <v>-79.9</v>
      </c>
      <c r="G26" s="64">
        <v>7</v>
      </c>
      <c r="H26" s="65">
        <f>IF(SIN(J26/$J$7)&gt;0,$J$7*ACOS((SIN(G26/$J$7)-SIN($D$4/$J$7)*K26)/(COS($D$4/$J$7)*SIN(L26/$J$7))),360-($J$7*ACOS((SIN(G26/$J$7)-SIN($D$4/$J$7)*K26)/(COS($D$4/$J$7)*SIN(L26/$J$7)))))</f>
        <v>342.13659976150103</v>
      </c>
      <c r="I26" s="66">
        <f>69.041*$J$7*(ACOS(SIN($D$4/$J$7)*SIN(G26/$J$7)+COS($D$4/$J$7)*COS(G26/$J$7)*COS(J26/$J$7)))</f>
        <v>9520.204201057375</v>
      </c>
      <c r="J26" s="63">
        <f>+$D$3-F26</f>
        <v>191.96</v>
      </c>
      <c r="K26" s="63">
        <f>SIN($D$4/$J$7)*SIN(G26/$J$7)+COS($D$4/$J$7)*COS(G26/$J$7)*COS(J26/$J$7)</f>
        <v>-0.7418826701726652</v>
      </c>
      <c r="L26" s="63">
        <f t="shared" si="0"/>
        <v>137.89203807965376</v>
      </c>
      <c r="M26" s="67">
        <f>IF(SIN(N26/$J$7)&gt;0,$J$7*ACOS((SIN($D$4/$J$7)-SIN(G26/$J$7)*O26)/(COS(G26/$J$7)*SIN(P26/$J$7))),360-($J$7*ACOS((SIN($D$4/$J$7)-SIN(G26/$J$7)*O26)/(COS(G26/$J$7)*SIN(P26/$J$7)))))</f>
        <v>14.92565001331657</v>
      </c>
      <c r="N26" s="68">
        <f>+F26-$D$3</f>
        <v>-191.96</v>
      </c>
      <c r="O26" s="69">
        <f>SIN(G26/$J$7)*SIN($D$4/$J$7)+COS(G26/$J$7)*COS($D$4/$J$7)*COS(N26/$J$7)</f>
        <v>-0.7418826701726652</v>
      </c>
      <c r="P26" s="59">
        <f t="shared" si="1"/>
        <v>137.89203807965376</v>
      </c>
      <c r="Q26" s="38"/>
    </row>
    <row r="27" spans="1:17" ht="12" customHeight="1">
      <c r="A27" s="46">
        <f t="shared" si="2"/>
        <v>20</v>
      </c>
      <c r="B27" s="46" t="s">
        <v>66</v>
      </c>
      <c r="C27" s="46" t="s">
        <v>67</v>
      </c>
      <c r="D27" s="61" t="s">
        <v>13</v>
      </c>
      <c r="E27" s="61" t="s">
        <v>21</v>
      </c>
      <c r="F27" s="64">
        <f>-6.2</f>
        <v>-6.2</v>
      </c>
      <c r="G27" s="64">
        <v>46.2</v>
      </c>
      <c r="H27" s="65">
        <f>IF(SIN(J27/$J$7)&gt;0,$J$7*ACOS((SIN(G27/$J$7)-SIN($D$4/$J$7)*K27)/(COS($D$4/$J$7)*SIN(L27/$J$7))),360-($J$7*ACOS((SIN(G27/$J$7)-SIN($D$4/$J$7)*K27)/(COS($D$4/$J$7)*SIN(L27/$J$7)))))</f>
        <v>37.91744468121576</v>
      </c>
      <c r="I27" s="66">
        <f>69.041*$J$7*(ACOS(SIN($D$4/$J$7)*SIN(G27/$J$7)+COS($D$4/$J$7)*COS(G27/$J$7)*COS(J27/$J$7)))</f>
        <v>5714.832103680183</v>
      </c>
      <c r="J27" s="63">
        <f>+$D$3-F27</f>
        <v>118.26</v>
      </c>
      <c r="K27" s="63">
        <f>SIN($D$4/$J$7)*SIN(G27/$J$7)+COS($D$4/$J$7)*COS(G27/$J$7)*COS(J27/$J$7)</f>
        <v>0.12577531007429782</v>
      </c>
      <c r="L27" s="63">
        <f t="shared" si="0"/>
        <v>82.77446884720939</v>
      </c>
      <c r="M27" s="67">
        <f>IF(SIN(N27/$J$7)&gt;0,$J$7*ACOS((SIN($D$4/$J$7)-SIN(G27/$J$7)*O27)/(COS(G27/$J$7)*SIN(P27/$J$7))),360-($J$7*ACOS((SIN($D$4/$J$7)-SIN(G27/$J$7)*O27)/(COS(G27/$J$7)*SIN(P27/$J$7)))))</f>
        <v>312.2732729598474</v>
      </c>
      <c r="N27" s="68">
        <f>+F27-$D$3</f>
        <v>-118.26</v>
      </c>
      <c r="O27" s="69">
        <f>SIN(G27/$J$7)*SIN($D$4/$J$7)+COS(G27/$J$7)*COS($D$4/$J$7)*COS(N27/$J$7)</f>
        <v>0.12577531007429782</v>
      </c>
      <c r="P27" s="59">
        <f t="shared" si="1"/>
        <v>82.77446884720939</v>
      </c>
      <c r="Q27" s="38"/>
    </row>
    <row r="28" spans="1:17" ht="12" customHeight="1">
      <c r="A28" s="46">
        <f t="shared" si="2"/>
        <v>21</v>
      </c>
      <c r="B28" s="46" t="s">
        <v>68</v>
      </c>
      <c r="C28" s="46" t="s">
        <v>69</v>
      </c>
      <c r="D28" s="61" t="s">
        <v>70</v>
      </c>
      <c r="E28" s="61" t="s">
        <v>71</v>
      </c>
      <c r="F28" s="64">
        <v>74</v>
      </c>
      <c r="G28" s="64">
        <v>40.8</v>
      </c>
      <c r="H28" s="65">
        <f>IF(SIN(J28/$J$7)&gt;0,$J$7*ACOS((SIN(G28/$J$7)-SIN($D$4/$J$7)*K28)/(COS($D$4/$J$7)*SIN(L28/$J$7))),360-($J$7*ACOS((SIN(G28/$J$7)-SIN($D$4/$J$7)*K28)/(COS($D$4/$J$7)*SIN(L28/$J$7)))))</f>
        <v>65.24832832233321</v>
      </c>
      <c r="I28" s="66">
        <f>69.041*$J$7*(ACOS(SIN($D$4/$J$7)*SIN(G28/$J$7)+COS($D$4/$J$7)*COS(G28/$J$7)*COS(J28/$J$7)))</f>
        <v>2134.9631433918225</v>
      </c>
      <c r="J28" s="63">
        <f>+$D$3-F28</f>
        <v>38.06</v>
      </c>
      <c r="K28" s="63">
        <f>SIN($D$4/$J$7)*SIN(G28/$J$7)+COS($D$4/$J$7)*COS(G28/$J$7)*COS(J28/$J$7)</f>
        <v>0.857857609631411</v>
      </c>
      <c r="L28" s="63">
        <f t="shared" si="0"/>
        <v>30.923120224096156</v>
      </c>
      <c r="M28" s="67">
        <f>IF(SIN(N28/$J$7)&gt;0,$J$7*ACOS((SIN($D$4/$J$7)-SIN(G28/$J$7)*O28)/(COS(G28/$J$7)*SIN(P28/$J$7))),360-($J$7*ACOS((SIN($D$4/$J$7)-SIN(G28/$J$7)*O28)/(COS(G28/$J$7)*SIN(P28/$J$7)))))</f>
        <v>268.83969561991734</v>
      </c>
      <c r="N28" s="68">
        <f>+F28-$D$3</f>
        <v>-38.06</v>
      </c>
      <c r="O28" s="69">
        <f>SIN(G28/$J$7)*SIN($D$4/$J$7)+COS(G28/$J$7)*COS($D$4/$J$7)*COS(N28/$J$7)</f>
        <v>0.857857609631411</v>
      </c>
      <c r="P28" s="59">
        <f t="shared" si="1"/>
        <v>30.923120224096156</v>
      </c>
      <c r="Q28" s="38"/>
    </row>
    <row r="29" spans="1:17" ht="12" customHeight="1">
      <c r="A29" s="46">
        <f t="shared" si="2"/>
        <v>22</v>
      </c>
      <c r="B29" s="46" t="s">
        <v>72</v>
      </c>
      <c r="C29" s="46" t="s">
        <v>729</v>
      </c>
      <c r="D29" s="61" t="s">
        <v>17</v>
      </c>
      <c r="E29" s="61">
        <v>28</v>
      </c>
      <c r="F29" s="64">
        <v>-125.57</v>
      </c>
      <c r="G29" s="64">
        <v>-8.57</v>
      </c>
      <c r="H29" s="65">
        <f>IF(SIN(J29/$J$7)&gt;0,$J$7*ACOS((SIN(G29/$J$7)-SIN($D$4/$J$7)*K29)/(COS($D$4/$J$7)*SIN(L29/$J$7))),360-($J$7*ACOS((SIN(G29/$J$7)-SIN($D$4/$J$7)*K29)/(COS($D$4/$J$7)*SIN(L29/$J$7)))))</f>
        <v>281.3994120670905</v>
      </c>
      <c r="I29" s="66">
        <f>69.041*$J$7*(ACOS(SIN($D$4/$J$7)*SIN(G29/$J$7)+COS($D$4/$J$7)*COS(G29/$J$7)*COS(J29/$J$7)))</f>
        <v>8393.437635171069</v>
      </c>
      <c r="J29" s="63">
        <f>+$D$3-F29</f>
        <v>237.63</v>
      </c>
      <c r="K29" s="63">
        <f>SIN($D$4/$J$7)*SIN(G29/$J$7)+COS($D$4/$J$7)*COS(G29/$J$7)*COS(J29/$J$7)</f>
        <v>-0.5235664198948422</v>
      </c>
      <c r="L29" s="63">
        <f t="shared" si="0"/>
        <v>121.57178539087019</v>
      </c>
      <c r="M29" s="67">
        <f>IF(SIN(N29/$J$7)&gt;0,$J$7*ACOS((SIN($D$4/$J$7)-SIN(G29/$J$7)*O29)/(COS(G29/$J$7)*SIN(P29/$J$7))),360-($J$7*ACOS((SIN($D$4/$J$7)-SIN(G29/$J$7)*O29)/(COS(G29/$J$7)*SIN(P29/$J$7)))))</f>
        <v>55.70914514323195</v>
      </c>
      <c r="N29" s="68">
        <f>+F29-$D$3</f>
        <v>-237.63</v>
      </c>
      <c r="O29" s="69">
        <f>SIN(G29/$J$7)*SIN($D$4/$J$7)+COS(G29/$J$7)*COS($D$4/$J$7)*COS(N29/$J$7)</f>
        <v>-0.5235664198948422</v>
      </c>
      <c r="P29" s="59">
        <f t="shared" si="1"/>
        <v>121.57178539087019</v>
      </c>
      <c r="Q29" s="38"/>
    </row>
    <row r="30" spans="1:17" ht="12" customHeight="1">
      <c r="A30" s="46">
        <f t="shared" si="2"/>
        <v>23</v>
      </c>
      <c r="B30" s="46" t="s">
        <v>74</v>
      </c>
      <c r="C30" s="46" t="s">
        <v>75</v>
      </c>
      <c r="D30" s="61" t="s">
        <v>17</v>
      </c>
      <c r="E30" s="61" t="s">
        <v>76</v>
      </c>
      <c r="F30" s="64">
        <f>-35</f>
        <v>-35</v>
      </c>
      <c r="G30" s="64">
        <v>32</v>
      </c>
      <c r="H30" s="65">
        <f>IF(SIN(J30/$J$7)&gt;0,$J$7*ACOS((SIN(G30/$J$7)-SIN($D$4/$J$7)*K30)/(COS($D$4/$J$7)*SIN(L30/$J$7))),360-($J$7*ACOS((SIN(G30/$J$7)-SIN($D$4/$J$7)*K30)/(COS($D$4/$J$7)*SIN(L30/$J$7)))))</f>
        <v>28.91067231312512</v>
      </c>
      <c r="I30" s="66">
        <f>69.041*$J$7*(ACOS(SIN($D$4/$J$7)*SIN(G30/$J$7)+COS($D$4/$J$7)*COS(G30/$J$7)*COS(J30/$J$7)))</f>
        <v>7420.1395483769975</v>
      </c>
      <c r="J30" s="63">
        <f>+$D$3-F30</f>
        <v>147.06</v>
      </c>
      <c r="K30" s="63">
        <f>SIN($D$4/$J$7)*SIN(G30/$J$7)+COS($D$4/$J$7)*COS(G30/$J$7)*COS(J30/$J$7)</f>
        <v>-0.3002795236265474</v>
      </c>
      <c r="L30" s="63">
        <f t="shared" si="0"/>
        <v>107.47439272862499</v>
      </c>
      <c r="M30" s="67">
        <f>IF(SIN(N30/$J$7)&gt;0,$J$7*ACOS((SIN($D$4/$J$7)-SIN(G30/$J$7)*O30)/(COS(G30/$J$7)*SIN(P30/$J$7))),360-($J$7*ACOS((SIN($D$4/$J$7)-SIN(G30/$J$7)*O30)/(COS(G30/$J$7)*SIN(P30/$J$7)))))</f>
        <v>331.6343196749557</v>
      </c>
      <c r="N30" s="68">
        <f>+F30-$D$3</f>
        <v>-147.06</v>
      </c>
      <c r="O30" s="69">
        <f>SIN(G30/$J$7)*SIN($D$4/$J$7)+COS(G30/$J$7)*COS($D$4/$J$7)*COS(N30/$J$7)</f>
        <v>-0.3002795236265474</v>
      </c>
      <c r="P30" s="59">
        <f t="shared" si="1"/>
        <v>107.47439272862499</v>
      </c>
      <c r="Q30" s="38"/>
    </row>
    <row r="31" spans="1:17" ht="12" customHeight="1">
      <c r="A31" s="46">
        <f t="shared" si="2"/>
        <v>24</v>
      </c>
      <c r="B31" s="46" t="s">
        <v>77</v>
      </c>
      <c r="C31" s="46" t="s">
        <v>78</v>
      </c>
      <c r="D31" s="61" t="s">
        <v>24</v>
      </c>
      <c r="E31" s="61" t="s">
        <v>79</v>
      </c>
      <c r="F31" s="64">
        <f>-12.5</f>
        <v>-12.5</v>
      </c>
      <c r="G31" s="64">
        <v>32.5</v>
      </c>
      <c r="H31" s="65">
        <f>IF(SIN(J31/$J$7)&gt;0,$J$7*ACOS((SIN(G31/$J$7)-SIN($D$4/$J$7)*K31)/(COS($D$4/$J$7)*SIN(L31/$J$7))),360-($J$7*ACOS((SIN(G31/$J$7)-SIN($D$4/$J$7)*K31)/(COS($D$4/$J$7)*SIN(L31/$J$7)))))</f>
        <v>44.28164636457205</v>
      </c>
      <c r="I31" s="66">
        <f>69.041*$J$7*(ACOS(SIN($D$4/$J$7)*SIN(G31/$J$7)+COS($D$4/$J$7)*COS(G31/$J$7)*COS(J31/$J$7)))</f>
        <v>6617.000706149036</v>
      </c>
      <c r="J31" s="63">
        <f>+$D$3-F31</f>
        <v>124.56</v>
      </c>
      <c r="K31" s="63">
        <f>SIN($D$4/$J$7)*SIN(G31/$J$7)+COS($D$4/$J$7)*COS(G31/$J$7)*COS(J31/$J$7)</f>
        <v>-0.10177881187964105</v>
      </c>
      <c r="L31" s="63">
        <f t="shared" si="0"/>
        <v>95.84161159527</v>
      </c>
      <c r="M31" s="67">
        <f>IF(SIN(N31/$J$7)&gt;0,$J$7*ACOS((SIN($D$4/$J$7)-SIN(G31/$J$7)*O31)/(COS(G31/$J$7)*SIN(P31/$J$7))),360-($J$7*ACOS((SIN($D$4/$J$7)-SIN(G31/$J$7)*O31)/(COS(G31/$J$7)*SIN(P31/$J$7)))))</f>
        <v>316.376386266343</v>
      </c>
      <c r="N31" s="68">
        <f>+F31-$D$3</f>
        <v>-124.56</v>
      </c>
      <c r="O31" s="69">
        <f>SIN(G31/$J$7)*SIN($D$4/$J$7)+COS(G31/$J$7)*COS($D$4/$J$7)*COS(N31/$J$7)</f>
        <v>-0.10177881187964105</v>
      </c>
      <c r="P31" s="59">
        <f t="shared" si="1"/>
        <v>95.84161159527</v>
      </c>
      <c r="Q31" s="38"/>
    </row>
    <row r="32" spans="1:17" ht="12" customHeight="1">
      <c r="A32" s="46">
        <f t="shared" si="2"/>
        <v>25</v>
      </c>
      <c r="B32" s="46" t="s">
        <v>80</v>
      </c>
      <c r="C32" s="46" t="s">
        <v>81</v>
      </c>
      <c r="D32" s="61" t="s">
        <v>17</v>
      </c>
      <c r="E32" s="61" t="s">
        <v>76</v>
      </c>
      <c r="F32" s="64">
        <f>-33</f>
        <v>-33</v>
      </c>
      <c r="G32" s="64">
        <v>35</v>
      </c>
      <c r="H32" s="65">
        <f>IF(SIN(J32/$J$7)&gt;0,$J$7*ACOS((SIN(G32/$J$7)-SIN($D$4/$J$7)*K32)/(COS($D$4/$J$7)*SIN(L32/$J$7))),360-($J$7*ACOS((SIN(G32/$J$7)-SIN($D$4/$J$7)*K32)/(COS($D$4/$J$7)*SIN(L32/$J$7)))))</f>
        <v>28.920430889507614</v>
      </c>
      <c r="I32" s="66">
        <f>69.041*$J$7*(ACOS(SIN($D$4/$J$7)*SIN(G32/$J$7)+COS($D$4/$J$7)*COS(G32/$J$7)*COS(J32/$J$7)))</f>
        <v>7183.17883533578</v>
      </c>
      <c r="J32" s="63">
        <f>+$D$3-F32</f>
        <v>145.06</v>
      </c>
      <c r="K32" s="63">
        <f>SIN($D$4/$J$7)*SIN(G32/$J$7)+COS($D$4/$J$7)*COS(G32/$J$7)*COS(J32/$J$7)</f>
        <v>-0.24263680087761624</v>
      </c>
      <c r="L32" s="63">
        <f t="shared" si="0"/>
        <v>104.04221890377863</v>
      </c>
      <c r="M32" s="67">
        <f>IF(SIN(N32/$J$7)&gt;0,$J$7*ACOS((SIN($D$4/$J$7)-SIN(G32/$J$7)*O32)/(COS(G32/$J$7)*SIN(P32/$J$7))),360-($J$7*ACOS((SIN($D$4/$J$7)-SIN(G32/$J$7)*O32)/(COS(G32/$J$7)*SIN(P32/$J$7)))))</f>
        <v>330.52733793208466</v>
      </c>
      <c r="N32" s="68">
        <f>+F32-$D$3</f>
        <v>-145.06</v>
      </c>
      <c r="O32" s="69">
        <f>SIN(G32/$J$7)*SIN($D$4/$J$7)+COS(G32/$J$7)*COS($D$4/$J$7)*COS(N32/$J$7)</f>
        <v>-0.24263680087761624</v>
      </c>
      <c r="P32" s="59">
        <f t="shared" si="1"/>
        <v>104.04221890377863</v>
      </c>
      <c r="Q32" s="38"/>
    </row>
    <row r="33" spans="1:17" ht="12" customHeight="1">
      <c r="A33" s="46">
        <f t="shared" si="2"/>
        <v>26</v>
      </c>
      <c r="B33" s="46" t="s">
        <v>82</v>
      </c>
      <c r="C33" s="46" t="s">
        <v>83</v>
      </c>
      <c r="D33" s="61" t="s">
        <v>24</v>
      </c>
      <c r="E33" s="61" t="s">
        <v>84</v>
      </c>
      <c r="F33" s="64">
        <f>-39.5</f>
        <v>-39.5</v>
      </c>
      <c r="G33" s="64">
        <f>-7</f>
        <v>-7</v>
      </c>
      <c r="H33" s="65">
        <f>IF(SIN(J33/$J$7)&gt;0,$J$7*ACOS((SIN(G33/$J$7)-SIN($D$4/$J$7)*K33)/(COS($D$4/$J$7)*SIN(L33/$J$7))),360-($J$7*ACOS((SIN(G33/$J$7)-SIN($D$4/$J$7)*K33)/(COS($D$4/$J$7)*SIN(L33/$J$7)))))</f>
        <v>51.14652110720114</v>
      </c>
      <c r="I33" s="66">
        <f>69.041*$J$7*(ACOS(SIN($D$4/$J$7)*SIN(G33/$J$7)+COS($D$4/$J$7)*COS(G33/$J$7)*COS(J33/$J$7)))</f>
        <v>9847.210624659408</v>
      </c>
      <c r="J33" s="63">
        <f>+$D$3-F33</f>
        <v>151.56</v>
      </c>
      <c r="K33" s="63">
        <f>SIN($D$4/$J$7)*SIN(G33/$J$7)+COS($D$4/$J$7)*COS(G33/$J$7)*COS(J33/$J$7)</f>
        <v>-0.7947160833078167</v>
      </c>
      <c r="L33" s="63">
        <f t="shared" si="0"/>
        <v>142.6284472220769</v>
      </c>
      <c r="M33" s="67">
        <f>IF(SIN(N33/$J$7)&gt;0,$J$7*ACOS((SIN($D$4/$J$7)-SIN(G33/$J$7)*O33)/(COS(G33/$J$7)*SIN(P33/$J$7))),360-($J$7*ACOS((SIN($D$4/$J$7)-SIN(G33/$J$7)*O33)/(COS(G33/$J$7)*SIN(P33/$J$7)))))</f>
        <v>319.1644971234934</v>
      </c>
      <c r="N33" s="68">
        <f>+F33-$D$3</f>
        <v>-151.56</v>
      </c>
      <c r="O33" s="69">
        <f>SIN(G33/$J$7)*SIN($D$4/$J$7)+COS(G33/$J$7)*COS($D$4/$J$7)*COS(N33/$J$7)</f>
        <v>-0.7947160833078167</v>
      </c>
      <c r="P33" s="59">
        <f t="shared" si="1"/>
        <v>142.6284472220769</v>
      </c>
      <c r="Q33" s="38"/>
    </row>
    <row r="34" spans="1:17" ht="12" customHeight="1">
      <c r="A34" s="46">
        <f t="shared" si="2"/>
        <v>27</v>
      </c>
      <c r="B34" s="46" t="s">
        <v>85</v>
      </c>
      <c r="C34" s="46" t="s">
        <v>86</v>
      </c>
      <c r="D34" s="61" t="s">
        <v>24</v>
      </c>
      <c r="E34" s="61" t="s">
        <v>51</v>
      </c>
      <c r="F34" s="64">
        <f>-3</f>
        <v>-3</v>
      </c>
      <c r="G34" s="64">
        <v>6.5</v>
      </c>
      <c r="H34" s="65">
        <f>IF(SIN(J34/$J$7)&gt;0,$J$7*ACOS((SIN(G34/$J$7)-SIN($D$4/$J$7)*K34)/(COS($D$4/$J$7)*SIN(L34/$J$7))),360-($J$7*ACOS((SIN(G34/$J$7)-SIN($D$4/$J$7)*K34)/(COS($D$4/$J$7)*SIN(L34/$J$7)))))</f>
        <v>70.03703369728885</v>
      </c>
      <c r="I34" s="66">
        <f>69.041*$J$7*(ACOS(SIN($D$4/$J$7)*SIN(G34/$J$7)+COS($D$4/$J$7)*COS(G34/$J$7)*COS(J34/$J$7)))</f>
        <v>7370.0178909833285</v>
      </c>
      <c r="J34" s="63">
        <f>+$D$3-F34</f>
        <v>115.06</v>
      </c>
      <c r="K34" s="63">
        <f>SIN($D$4/$J$7)*SIN(G34/$J$7)+COS($D$4/$J$7)*COS(G34/$J$7)*COS(J34/$J$7)</f>
        <v>-0.28816991649410406</v>
      </c>
      <c r="L34" s="63">
        <f t="shared" si="0"/>
        <v>106.74842326998926</v>
      </c>
      <c r="M34" s="67">
        <f>IF(SIN(N34/$J$7)&gt;0,$J$7*ACOS((SIN($D$4/$J$7)-SIN(G34/$J$7)*O34)/(COS(G34/$J$7)*SIN(P34/$J$7))),360-($J$7*ACOS((SIN($D$4/$J$7)-SIN(G34/$J$7)*O34)/(COS(G34/$J$7)*SIN(P34/$J$7)))))</f>
        <v>307.96418512776296</v>
      </c>
      <c r="N34" s="68">
        <f>+F34-$D$3</f>
        <v>-115.06</v>
      </c>
      <c r="O34" s="69">
        <f>SIN(G34/$J$7)*SIN($D$4/$J$7)+COS(G34/$J$7)*COS($D$4/$J$7)*COS(N34/$J$7)</f>
        <v>-0.28816991649410406</v>
      </c>
      <c r="P34" s="59">
        <f t="shared" si="1"/>
        <v>106.74842326998926</v>
      </c>
      <c r="Q34" s="38"/>
    </row>
    <row r="35" spans="1:17" ht="12" customHeight="1">
      <c r="A35" s="46">
        <f t="shared" si="2"/>
        <v>28</v>
      </c>
      <c r="B35" s="46" t="s">
        <v>87</v>
      </c>
      <c r="C35" s="46" t="s">
        <v>88</v>
      </c>
      <c r="D35" s="61" t="s">
        <v>24</v>
      </c>
      <c r="E35" s="61" t="s">
        <v>27</v>
      </c>
      <c r="F35" s="64">
        <f>-47</f>
        <v>-47</v>
      </c>
      <c r="G35" s="64">
        <f>-18.5</f>
        <v>-18.5</v>
      </c>
      <c r="H35" s="65">
        <f>IF(SIN(J35/$J$7)&gt;0,$J$7*ACOS((SIN(G35/$J$7)-SIN($D$4/$J$7)*K35)/(COS($D$4/$J$7)*SIN(L35/$J$7))),360-($J$7*ACOS((SIN(G35/$J$7)-SIN($D$4/$J$7)*K35)/(COS($D$4/$J$7)*SIN(L35/$J$7)))))</f>
        <v>56.415416642668994</v>
      </c>
      <c r="I35" s="66">
        <f>69.041*$J$7*(ACOS(SIN($D$4/$J$7)*SIN(G35/$J$7)+COS($D$4/$J$7)*COS(G35/$J$7)*COS(J35/$J$7)))</f>
        <v>10769.973126407318</v>
      </c>
      <c r="J35" s="63">
        <f>+$D$3-F35</f>
        <v>159.06</v>
      </c>
      <c r="K35" s="63">
        <f>SIN($D$4/$J$7)*SIN(G35/$J$7)+COS($D$4/$J$7)*COS(G35/$J$7)*COS(J35/$J$7)</f>
        <v>-0.9135019719598</v>
      </c>
      <c r="L35" s="63">
        <f t="shared" si="0"/>
        <v>155.99387503667847</v>
      </c>
      <c r="M35" s="67">
        <f>IF(SIN(N35/$J$7)&gt;0,$J$7*ACOS((SIN($D$4/$J$7)-SIN(G35/$J$7)*O35)/(COS(G35/$J$7)*SIN(P35/$J$7))),360-($J$7*ACOS((SIN($D$4/$J$7)-SIN(G35/$J$7)*O35)/(COS(G35/$J$7)*SIN(P35/$J$7)))))</f>
        <v>312.93583834075434</v>
      </c>
      <c r="N35" s="68">
        <f>+F35-$D$3</f>
        <v>-159.06</v>
      </c>
      <c r="O35" s="69">
        <f>SIN(G35/$J$7)*SIN($D$4/$J$7)+COS(G35/$J$7)*COS($D$4/$J$7)*COS(N35/$J$7)</f>
        <v>-0.9135019719598</v>
      </c>
      <c r="P35" s="59">
        <f t="shared" si="1"/>
        <v>155.99387503667847</v>
      </c>
      <c r="Q35" s="38"/>
    </row>
    <row r="36" spans="1:17" ht="12" customHeight="1">
      <c r="A36" s="46">
        <f t="shared" si="2"/>
        <v>29</v>
      </c>
      <c r="B36" s="46" t="s">
        <v>89</v>
      </c>
      <c r="C36" s="46" t="s">
        <v>90</v>
      </c>
      <c r="D36" s="61" t="s">
        <v>24</v>
      </c>
      <c r="E36" s="61" t="s">
        <v>51</v>
      </c>
      <c r="F36" s="64">
        <v>16</v>
      </c>
      <c r="G36" s="64">
        <v>18</v>
      </c>
      <c r="H36" s="65">
        <f>IF(SIN(J36/$J$7)&gt;0,$J$7*ACOS((SIN(G36/$J$7)-SIN($D$4/$J$7)*K36)/(COS($D$4/$J$7)*SIN(L36/$J$7))),360-($J$7*ACOS((SIN(G36/$J$7)-SIN($D$4/$J$7)*K36)/(COS($D$4/$J$7)*SIN(L36/$J$7)))))</f>
        <v>71.6863025664979</v>
      </c>
      <c r="I36" s="66">
        <f>69.041*$J$7*(ACOS(SIN($D$4/$J$7)*SIN(G36/$J$7)+COS($D$4/$J$7)*COS(G36/$J$7)*COS(J36/$J$7)))</f>
        <v>5868.680359294126</v>
      </c>
      <c r="J36" s="63">
        <f>+$D$3-F36</f>
        <v>96.06</v>
      </c>
      <c r="K36" s="63">
        <f>SIN($D$4/$J$7)*SIN(G36/$J$7)+COS($D$4/$J$7)*COS(G36/$J$7)*COS(J36/$J$7)</f>
        <v>0.08710654451115145</v>
      </c>
      <c r="L36" s="63">
        <f t="shared" si="0"/>
        <v>85.00282961275367</v>
      </c>
      <c r="M36" s="67">
        <f>IF(SIN(N36/$J$7)&gt;0,$J$7*ACOS((SIN($D$4/$J$7)-SIN(G36/$J$7)*O36)/(COS(G36/$J$7)*SIN(P36/$J$7))),360-($J$7*ACOS((SIN($D$4/$J$7)-SIN(G36/$J$7)*O36)/(COS(G36/$J$7)*SIN(P36/$J$7)))))</f>
        <v>303.70468204303864</v>
      </c>
      <c r="N36" s="68">
        <f>+F36-$D$3</f>
        <v>-96.06</v>
      </c>
      <c r="O36" s="69">
        <f>SIN(G36/$J$7)*SIN($D$4/$J$7)+COS(G36/$J$7)*COS($D$4/$J$7)*COS(N36/$J$7)</f>
        <v>0.08710654451115145</v>
      </c>
      <c r="P36" s="59">
        <f t="shared" si="1"/>
        <v>85.00282961275367</v>
      </c>
      <c r="Q36" s="38"/>
    </row>
    <row r="37" spans="1:17" ht="12" customHeight="1">
      <c r="A37" s="46">
        <f t="shared" si="2"/>
        <v>30</v>
      </c>
      <c r="B37" s="46" t="s">
        <v>91</v>
      </c>
      <c r="C37" s="46" t="s">
        <v>92</v>
      </c>
      <c r="D37" s="61" t="s">
        <v>24</v>
      </c>
      <c r="E37" s="61" t="s">
        <v>51</v>
      </c>
      <c r="F37" s="64">
        <f>-2</f>
        <v>-2</v>
      </c>
      <c r="G37" s="64">
        <v>13.5</v>
      </c>
      <c r="H37" s="65">
        <f>IF(SIN(J37/$J$7)&gt;0,$J$7*ACOS((SIN(G37/$J$7)-SIN($D$4/$J$7)*K37)/(COS($D$4/$J$7)*SIN(L37/$J$7))),360-($J$7*ACOS((SIN(G37/$J$7)-SIN($D$4/$J$7)*K37)/(COS($D$4/$J$7)*SIN(L37/$J$7)))))</f>
        <v>65.02032811290815</v>
      </c>
      <c r="I37" s="66">
        <f>69.041*$J$7*(ACOS(SIN($D$4/$J$7)*SIN(G37/$J$7)+COS($D$4/$J$7)*COS(G37/$J$7)*COS(J37/$J$7)))</f>
        <v>7015.737323019468</v>
      </c>
      <c r="J37" s="63">
        <f>+$D$3-F37</f>
        <v>114.06</v>
      </c>
      <c r="K37" s="63">
        <f>SIN($D$4/$J$7)*SIN(G37/$J$7)+COS($D$4/$J$7)*COS(G37/$J$7)*COS(J37/$J$7)</f>
        <v>-0.20136806932572984</v>
      </c>
      <c r="L37" s="63">
        <f t="shared" si="0"/>
        <v>101.61697140857561</v>
      </c>
      <c r="M37" s="67">
        <f>IF(SIN(N37/$J$7)&gt;0,$J$7*ACOS((SIN($D$4/$J$7)-SIN(G37/$J$7)*O37)/(COS(G37/$J$7)*SIN(P37/$J$7))),360-($J$7*ACOS((SIN($D$4/$J$7)-SIN(G37/$J$7)*O37)/(COS(G37/$J$7)*SIN(P37/$J$7)))))</f>
        <v>309.021347089287</v>
      </c>
      <c r="N37" s="68">
        <f>+F37-$D$3</f>
        <v>-114.06</v>
      </c>
      <c r="O37" s="69">
        <f>SIN(G37/$J$7)*SIN($D$4/$J$7)+COS(G37/$J$7)*COS($D$4/$J$7)*COS(N37/$J$7)</f>
        <v>-0.20136806932572984</v>
      </c>
      <c r="P37" s="59">
        <f t="shared" si="1"/>
        <v>101.61697140857561</v>
      </c>
      <c r="Q37" s="38"/>
    </row>
    <row r="38" spans="1:17" ht="12" customHeight="1">
      <c r="A38" s="46">
        <f t="shared" si="2"/>
        <v>31</v>
      </c>
      <c r="B38" s="46" t="s">
        <v>93</v>
      </c>
      <c r="C38" s="46" t="s">
        <v>94</v>
      </c>
      <c r="D38" s="61" t="s">
        <v>24</v>
      </c>
      <c r="E38" s="61" t="s">
        <v>51</v>
      </c>
      <c r="F38" s="64">
        <f>-1.5</f>
        <v>-1.5</v>
      </c>
      <c r="G38" s="64">
        <v>6</v>
      </c>
      <c r="H38" s="65">
        <f>IF(SIN(J38/$J$7)&gt;0,$J$7*ACOS((SIN(G38/$J$7)-SIN($D$4/$J$7)*K38)/(COS($D$4/$J$7)*SIN(L38/$J$7))),360-($J$7*ACOS((SIN(G38/$J$7)-SIN($D$4/$J$7)*K38)/(COS($D$4/$J$7)*SIN(L38/$J$7)))))</f>
        <v>71.39914483916792</v>
      </c>
      <c r="I38" s="66">
        <f>69.041*$J$7*(ACOS(SIN($D$4/$J$7)*SIN(G38/$J$7)+COS($D$4/$J$7)*COS(G38/$J$7)*COS(J38/$J$7)))</f>
        <v>7309.65663654219</v>
      </c>
      <c r="J38" s="63">
        <f>+$D$3-F38</f>
        <v>113.56</v>
      </c>
      <c r="K38" s="63">
        <f>SIN($D$4/$J$7)*SIN(G38/$J$7)+COS($D$4/$J$7)*COS(G38/$J$7)*COS(J38/$J$7)</f>
        <v>-0.27352514968214375</v>
      </c>
      <c r="L38" s="63">
        <f t="shared" si="0"/>
        <v>105.87414198146305</v>
      </c>
      <c r="M38" s="67">
        <f>IF(SIN(N38/$J$7)&gt;0,$J$7*ACOS((SIN($D$4/$J$7)-SIN(G38/$J$7)*O38)/(COS(G38/$J$7)*SIN(P38/$J$7))),360-($J$7*ACOS((SIN($D$4/$J$7)-SIN(G38/$J$7)*O38)/(COS(G38/$J$7)*SIN(P38/$J$7)))))</f>
        <v>307.41828962347734</v>
      </c>
      <c r="N38" s="68">
        <f>+F38-$D$3</f>
        <v>-113.56</v>
      </c>
      <c r="O38" s="69">
        <f>SIN(G38/$J$7)*SIN($D$4/$J$7)+COS(G38/$J$7)*COS($D$4/$J$7)*COS(N38/$J$7)</f>
        <v>-0.27352514968214375</v>
      </c>
      <c r="P38" s="59">
        <f t="shared" si="1"/>
        <v>105.87414198146305</v>
      </c>
      <c r="Q38" s="38"/>
    </row>
    <row r="39" spans="1:17" ht="12" customHeight="1">
      <c r="A39" s="46">
        <f t="shared" si="2"/>
        <v>32</v>
      </c>
      <c r="B39" s="46" t="s">
        <v>95</v>
      </c>
      <c r="C39" s="46" t="s">
        <v>96</v>
      </c>
      <c r="D39" s="61" t="s">
        <v>37</v>
      </c>
      <c r="E39" s="61" t="s">
        <v>38</v>
      </c>
      <c r="F39" s="64">
        <v>172</v>
      </c>
      <c r="G39" s="64">
        <f>-13</f>
        <v>-13</v>
      </c>
      <c r="H39" s="65">
        <f>IF(SIN(J39/$J$7)&gt;0,$J$7*ACOS((SIN(G39/$J$7)-SIN($D$4/$J$7)*K39)/(COS($D$4/$J$7)*SIN(L39/$J$7))),360-($J$7*ACOS((SIN(G39/$J$7)-SIN($D$4/$J$7)*K39)/(COS($D$4/$J$7)*SIN(L39/$J$7)))))</f>
        <v>241.53524569602484</v>
      </c>
      <c r="I39" s="66">
        <f>69.041*$J$7*(ACOS(SIN($D$4/$J$7)*SIN(G39/$J$7)+COS($D$4/$J$7)*COS(G39/$J$7)*COS(J39/$J$7)))</f>
        <v>5081.029212895144</v>
      </c>
      <c r="J39" s="63">
        <f>+$D$3-F39</f>
        <v>-59.94</v>
      </c>
      <c r="K39" s="63">
        <f>SIN($D$4/$J$7)*SIN(G39/$J$7)+COS($D$4/$J$7)*COS(G39/$J$7)*COS(J39/$J$7)</f>
        <v>0.28243564354528283</v>
      </c>
      <c r="L39" s="63">
        <f t="shared" si="0"/>
        <v>73.59437454404113</v>
      </c>
      <c r="M39" s="67">
        <f>IF(SIN(N39/$J$7)&gt;0,$J$7*ACOS((SIN($D$4/$J$7)-SIN(G39/$J$7)*O39)/(COS(G39/$J$7)*SIN(P39/$J$7))),360-($J$7*ACOS((SIN($D$4/$J$7)-SIN(G39/$J$7)*O39)/(COS(G39/$J$7)*SIN(P39/$J$7)))))</f>
        <v>48.7574785271315</v>
      </c>
      <c r="N39" s="68">
        <f>+F39-$D$3</f>
        <v>59.94</v>
      </c>
      <c r="O39" s="69">
        <f>SIN(G39/$J$7)*SIN($D$4/$J$7)+COS(G39/$J$7)*COS($D$4/$J$7)*COS(N39/$J$7)</f>
        <v>0.28243564354528283</v>
      </c>
      <c r="P39" s="59">
        <f t="shared" si="1"/>
        <v>73.59437454404113</v>
      </c>
      <c r="Q39" s="38"/>
    </row>
    <row r="40" spans="1:17" ht="12" customHeight="1">
      <c r="A40" s="46">
        <f t="shared" si="2"/>
        <v>33</v>
      </c>
      <c r="B40" s="46" t="s">
        <v>97</v>
      </c>
      <c r="C40" s="46" t="s">
        <v>98</v>
      </c>
      <c r="D40" s="61" t="s">
        <v>24</v>
      </c>
      <c r="E40" s="61" t="s">
        <v>84</v>
      </c>
      <c r="F40" s="64">
        <f>-32.5</f>
        <v>-32.5</v>
      </c>
      <c r="G40" s="64">
        <v>1</v>
      </c>
      <c r="H40" s="65">
        <f>IF(SIN(J40/$J$7)&gt;0,$J$7*ACOS((SIN(G40/$J$7)-SIN($D$4/$J$7)*K40)/(COS($D$4/$J$7)*SIN(L40/$J$7))),360-($J$7*ACOS((SIN(G40/$J$7)-SIN($D$4/$J$7)*K40)/(COS($D$4/$J$7)*SIN(L40/$J$7)))))</f>
        <v>51.28386527926895</v>
      </c>
      <c r="I40" s="66">
        <f>69.041*$J$7*(ACOS(SIN($D$4/$J$7)*SIN(G40/$J$7)+COS($D$4/$J$7)*COS(G40/$J$7)*COS(J40/$J$7)))</f>
        <v>9114.01934574259</v>
      </c>
      <c r="J40" s="63">
        <f>+$D$3-F40</f>
        <v>144.56</v>
      </c>
      <c r="K40" s="63">
        <f>SIN($D$4/$J$7)*SIN(G40/$J$7)+COS($D$4/$J$7)*COS(G40/$J$7)*COS(J40/$J$7)</f>
        <v>-0.6692446969215877</v>
      </c>
      <c r="L40" s="63">
        <f t="shared" si="0"/>
        <v>132.00879688507686</v>
      </c>
      <c r="M40" s="67">
        <f>IF(SIN(N40/$J$7)&gt;0,$J$7*ACOS((SIN($D$4/$J$7)-SIN(G40/$J$7)*O40)/(COS(G40/$J$7)*SIN(P40/$J$7))),360-($J$7*ACOS((SIN($D$4/$J$7)-SIN(G40/$J$7)*O40)/(COS(G40/$J$7)*SIN(P40/$J$7)))))</f>
        <v>319.43079797642457</v>
      </c>
      <c r="N40" s="68">
        <f>+F40-$D$3</f>
        <v>-144.56</v>
      </c>
      <c r="O40" s="69">
        <f>SIN(G40/$J$7)*SIN($D$4/$J$7)+COS(G40/$J$7)*COS($D$4/$J$7)*COS(N40/$J$7)</f>
        <v>-0.6692446969215877</v>
      </c>
      <c r="P40" s="59">
        <f t="shared" si="1"/>
        <v>132.00879688507686</v>
      </c>
      <c r="Q40" s="38"/>
    </row>
    <row r="41" spans="1:17" ht="12" customHeight="1">
      <c r="A41" s="46">
        <f t="shared" si="2"/>
        <v>34</v>
      </c>
      <c r="B41" s="46" t="s">
        <v>99</v>
      </c>
      <c r="C41" s="46" t="s">
        <v>100</v>
      </c>
      <c r="D41" s="61" t="s">
        <v>24</v>
      </c>
      <c r="E41" s="61" t="s">
        <v>84</v>
      </c>
      <c r="F41" s="64">
        <f>-37.5</f>
        <v>-37.5</v>
      </c>
      <c r="G41" s="64">
        <f>-1.5</f>
        <v>-1.5</v>
      </c>
      <c r="H41" s="65">
        <f>IF(SIN(J41/$J$7)&gt;0,$J$7*ACOS((SIN(G41/$J$7)-SIN($D$4/$J$7)*K41)/(COS($D$4/$J$7)*SIN(L41/$J$7))),360-($J$7*ACOS((SIN(G41/$J$7)-SIN($D$4/$J$7)*K41)/(COS($D$4/$J$7)*SIN(L41/$J$7)))))</f>
        <v>48.09476500555082</v>
      </c>
      <c r="I41" s="66">
        <f>69.041*$J$7*(ACOS(SIN($D$4/$J$7)*SIN(G41/$J$7)+COS($D$4/$J$7)*COS(G41/$J$7)*COS(J41/$J$7)))</f>
        <v>9466.715842600604</v>
      </c>
      <c r="J41" s="63">
        <f>+$D$3-F41</f>
        <v>149.56</v>
      </c>
      <c r="K41" s="63">
        <f>SIN($D$4/$J$7)*SIN(G41/$J$7)+COS($D$4/$J$7)*COS(G41/$J$7)*COS(J41/$J$7)</f>
        <v>-0.7327484609223724</v>
      </c>
      <c r="L41" s="63">
        <f t="shared" si="0"/>
        <v>137.117304827575</v>
      </c>
      <c r="M41" s="67">
        <f>IF(SIN(N41/$J$7)&gt;0,$J$7*ACOS((SIN($D$4/$J$7)-SIN(G41/$J$7)*O41)/(COS(G41/$J$7)*SIN(P41/$J$7))),360-($J$7*ACOS((SIN($D$4/$J$7)-SIN(G41/$J$7)*O41)/(COS(G41/$J$7)*SIN(P41/$J$7)))))</f>
        <v>321.6492525772347</v>
      </c>
      <c r="N41" s="68">
        <f>+F41-$D$3</f>
        <v>-149.56</v>
      </c>
      <c r="O41" s="69">
        <f>SIN(G41/$J$7)*SIN($D$4/$J$7)+COS(G41/$J$7)*COS($D$4/$J$7)*COS(N41/$J$7)</f>
        <v>-0.7327484609223724</v>
      </c>
      <c r="P41" s="59">
        <f t="shared" si="1"/>
        <v>137.117304827575</v>
      </c>
      <c r="Q41" s="38"/>
    </row>
    <row r="42" spans="1:17" ht="12" customHeight="1">
      <c r="A42" s="46">
        <f t="shared" si="2"/>
        <v>35</v>
      </c>
      <c r="B42" s="46" t="s">
        <v>101</v>
      </c>
      <c r="C42" s="46" t="s">
        <v>102</v>
      </c>
      <c r="D42" s="61" t="s">
        <v>24</v>
      </c>
      <c r="E42" s="61" t="s">
        <v>51</v>
      </c>
      <c r="F42" s="64">
        <v>18</v>
      </c>
      <c r="G42" s="64">
        <v>15</v>
      </c>
      <c r="H42" s="65">
        <f>IF(SIN(J42/$J$7)&gt;0,$J$7*ACOS((SIN(G42/$J$7)-SIN($D$4/$J$7)*K42)/(COS($D$4/$J$7)*SIN(L42/$J$7))),360-($J$7*ACOS((SIN(G42/$J$7)-SIN($D$4/$J$7)*K42)/(COS($D$4/$J$7)*SIN(L42/$J$7)))))</f>
        <v>75.25957212092804</v>
      </c>
      <c r="I42" s="66">
        <f>69.041*$J$7*(ACOS(SIN($D$4/$J$7)*SIN(G42/$J$7)+COS($D$4/$J$7)*COS(G42/$J$7)*COS(J42/$J$7)))</f>
        <v>5872.896291129971</v>
      </c>
      <c r="J42" s="63">
        <f>+$D$3-F42</f>
        <v>94.06</v>
      </c>
      <c r="K42" s="63">
        <f>SIN($D$4/$J$7)*SIN(G42/$J$7)+COS($D$4/$J$7)*COS(G42/$J$7)*COS(J42/$J$7)</f>
        <v>0.08604477529396956</v>
      </c>
      <c r="L42" s="63">
        <f t="shared" si="0"/>
        <v>85.06389378963183</v>
      </c>
      <c r="M42" s="67">
        <f>IF(SIN(N42/$J$7)&gt;0,$J$7*ACOS((SIN($D$4/$J$7)-SIN(G42/$J$7)*O42)/(COS(G42/$J$7)*SIN(P42/$J$7))),360-($J$7*ACOS((SIN($D$4/$J$7)-SIN(G42/$J$7)*O42)/(COS(G42/$J$7)*SIN(P42/$J$7)))))</f>
        <v>303.44586140477384</v>
      </c>
      <c r="N42" s="68">
        <f>+F42-$D$3</f>
        <v>-94.06</v>
      </c>
      <c r="O42" s="69">
        <f>SIN(G42/$J$7)*SIN($D$4/$J$7)+COS(G42/$J$7)*COS($D$4/$J$7)*COS(N42/$J$7)</f>
        <v>0.08604477529396956</v>
      </c>
      <c r="P42" s="59">
        <f t="shared" si="1"/>
        <v>85.06389378963183</v>
      </c>
      <c r="Q42" s="38"/>
    </row>
    <row r="43" spans="1:17" ht="12" customHeight="1">
      <c r="A43" s="46">
        <f t="shared" si="2"/>
        <v>36</v>
      </c>
      <c r="B43" s="46" t="s">
        <v>103</v>
      </c>
      <c r="C43" s="46" t="s">
        <v>104</v>
      </c>
      <c r="D43" s="61" t="s">
        <v>70</v>
      </c>
      <c r="E43" s="61" t="s">
        <v>105</v>
      </c>
      <c r="F43" s="64">
        <v>76</v>
      </c>
      <c r="G43" s="64">
        <v>18</v>
      </c>
      <c r="H43" s="65">
        <f>IF(SIN(J43/$J$7)&gt;0,$J$7*ACOS((SIN(G43/$J$7)-SIN($D$4/$J$7)*K43)/(COS($D$4/$J$7)*SIN(L43/$J$7))),360-($J$7*ACOS((SIN(G43/$J$7)-SIN($D$4/$J$7)*K43)/(COS($D$4/$J$7)*SIN(L43/$J$7)))))</f>
        <v>106.64525285684762</v>
      </c>
      <c r="I43" s="66">
        <f>69.041*$J$7*(ACOS(SIN($D$4/$J$7)*SIN(G43/$J$7)+COS($D$4/$J$7)*COS(G43/$J$7)*COS(J43/$J$7)))</f>
        <v>2468.4944645942373</v>
      </c>
      <c r="J43" s="63">
        <f>+$D$3-F43</f>
        <v>36.06</v>
      </c>
      <c r="K43" s="63">
        <f>SIN($D$4/$J$7)*SIN(G43/$J$7)+COS($D$4/$J$7)*COS(G43/$J$7)*COS(J43/$J$7)</f>
        <v>0.8115328149167176</v>
      </c>
      <c r="L43" s="63">
        <f t="shared" si="0"/>
        <v>35.75403694318213</v>
      </c>
      <c r="M43" s="67">
        <f>IF(SIN(N43/$J$7)&gt;0,$J$7*ACOS((SIN($D$4/$J$7)-SIN(G43/$J$7)*O43)/(COS(G43/$J$7)*SIN(P43/$J$7))),360-($J$7*ACOS((SIN($D$4/$J$7)-SIN(G43/$J$7)*O43)/(COS(G43/$J$7)*SIN(P43/$J$7)))))</f>
        <v>302.90493742859553</v>
      </c>
      <c r="N43" s="68">
        <f>+F43-$D$3</f>
        <v>-36.06</v>
      </c>
      <c r="O43" s="69">
        <f>SIN(G43/$J$7)*SIN($D$4/$J$7)+COS(G43/$J$7)*COS($D$4/$J$7)*COS(N43/$J$7)</f>
        <v>0.8115328149167176</v>
      </c>
      <c r="P43" s="59">
        <f t="shared" si="1"/>
        <v>35.75403694318213</v>
      </c>
      <c r="Q43" s="38"/>
    </row>
    <row r="44" spans="1:17" ht="12" customHeight="1">
      <c r="A44" s="46">
        <f t="shared" si="2"/>
        <v>37</v>
      </c>
      <c r="B44" s="46" t="s">
        <v>728</v>
      </c>
      <c r="C44" s="46" t="s">
        <v>73</v>
      </c>
      <c r="D44" s="61" t="s">
        <v>17</v>
      </c>
      <c r="E44" s="61" t="s">
        <v>60</v>
      </c>
      <c r="F44" s="64">
        <f>-45</f>
        <v>-45</v>
      </c>
      <c r="G44" s="64">
        <v>13</v>
      </c>
      <c r="H44" s="65">
        <f>IF(SIN(J44/$J$7)&gt;0,$J$7*ACOS((SIN(G44/$J$7)-SIN($D$4/$J$7)*K44)/(COS($D$4/$J$7)*SIN(L44/$J$7))),360-($J$7*ACOS((SIN(G44/$J$7)-SIN($D$4/$J$7)*K44)/(COS($D$4/$J$7)*SIN(L44/$J$7)))))</f>
        <v>29.062160652527258</v>
      </c>
      <c r="I44" s="66">
        <f>69.041*$J$7*(ACOS(SIN($D$4/$J$7)*SIN(G44/$J$7)+COS($D$4/$J$7)*COS(G44/$J$7)*COS(J44/$J$7)))</f>
        <v>8876.749693613432</v>
      </c>
      <c r="J44" s="63">
        <f>+$D$3-F44</f>
        <v>157.06</v>
      </c>
      <c r="K44" s="63">
        <f>SIN($D$4/$J$7)*SIN(G44/$J$7)+COS($D$4/$J$7)*COS(G44/$J$7)*COS(J44/$J$7)</f>
        <v>-0.6234996234498642</v>
      </c>
      <c r="L44" s="63">
        <f t="shared" si="0"/>
        <v>128.57214834103553</v>
      </c>
      <c r="M44" s="67">
        <f>IF(SIN(N44/$J$7)&gt;0,$J$7*ACOS((SIN($D$4/$J$7)-SIN(G44/$J$7)*O44)/(COS(G44/$J$7)*SIN(P44/$J$7))),360-($J$7*ACOS((SIN($D$4/$J$7)-SIN(G44/$J$7)*O44)/(COS(G44/$J$7)*SIN(P44/$J$7)))))</f>
        <v>335.4503554882206</v>
      </c>
      <c r="N44" s="68">
        <f>+F44-$D$3</f>
        <v>-157.06</v>
      </c>
      <c r="O44" s="69">
        <f>SIN(G44/$J$7)*SIN($D$4/$J$7)+COS(G44/$J$7)*COS($D$4/$J$7)*COS(N44/$J$7)</f>
        <v>-0.6234996234498642</v>
      </c>
      <c r="P44" s="59">
        <f t="shared" si="1"/>
        <v>128.57214834103553</v>
      </c>
      <c r="Q44" s="38"/>
    </row>
    <row r="45" spans="1:17" ht="12" customHeight="1">
      <c r="A45" s="46">
        <f t="shared" si="2"/>
        <v>38</v>
      </c>
      <c r="B45" s="46" t="s">
        <v>106</v>
      </c>
      <c r="C45" s="46" t="s">
        <v>107</v>
      </c>
      <c r="D45" s="61" t="s">
        <v>24</v>
      </c>
      <c r="E45" s="61" t="s">
        <v>45</v>
      </c>
      <c r="F45" s="64">
        <f>-28</f>
        <v>-28</v>
      </c>
      <c r="G45" s="64">
        <f>-29.5</f>
        <v>-29.5</v>
      </c>
      <c r="H45" s="65">
        <f>IF(SIN(J45/$J$7)&gt;0,$J$7*ACOS((SIN(G45/$J$7)-SIN($D$4/$J$7)*K45)/(COS($D$4/$J$7)*SIN(L45/$J$7))),360-($J$7*ACOS((SIN(G45/$J$7)-SIN($D$4/$J$7)*K45)/(COS($D$4/$J$7)*SIN(L45/$J$7)))))</f>
        <v>94.25640360085768</v>
      </c>
      <c r="I45" s="66">
        <f>69.041*$J$7*(ACOS(SIN($D$4/$J$7)*SIN(G45/$J$7)+COS($D$4/$J$7)*COS(G45/$J$7)*COS(J45/$J$7)))</f>
        <v>10074.697665176962</v>
      </c>
      <c r="J45" s="63">
        <f>+$D$3-F45</f>
        <v>140.06</v>
      </c>
      <c r="K45" s="63">
        <f>SIN($D$4/$J$7)*SIN(G45/$J$7)+COS($D$4/$J$7)*COS(G45/$J$7)*COS(J45/$J$7)</f>
        <v>-0.8282892636191076</v>
      </c>
      <c r="L45" s="63">
        <f t="shared" si="0"/>
        <v>145.9234029805038</v>
      </c>
      <c r="M45" s="67">
        <f>IF(SIN(N45/$J$7)&gt;0,$J$7*ACOS((SIN($D$4/$J$7)-SIN(G45/$J$7)*O45)/(COS(G45/$J$7)*SIN(P45/$J$7))),360-($J$7*ACOS((SIN($D$4/$J$7)-SIN(G45/$J$7)*O45)/(COS(G45/$J$7)*SIN(P45/$J$7)))))</f>
        <v>287.2725877033978</v>
      </c>
      <c r="N45" s="68">
        <f>+F45-$D$3</f>
        <v>-140.06</v>
      </c>
      <c r="O45" s="69">
        <f>SIN(G45/$J$7)*SIN($D$4/$J$7)+COS(G45/$J$7)*COS($D$4/$J$7)*COS(N45/$J$7)</f>
        <v>-0.8282892636191076</v>
      </c>
      <c r="P45" s="59">
        <f t="shared" si="1"/>
        <v>145.9234029805038</v>
      </c>
      <c r="Q45" s="38"/>
    </row>
    <row r="46" spans="1:17" ht="12" customHeight="1">
      <c r="A46" s="46">
        <f t="shared" si="2"/>
        <v>39</v>
      </c>
      <c r="B46" s="46" t="s">
        <v>108</v>
      </c>
      <c r="C46" s="46" t="s">
        <v>109</v>
      </c>
      <c r="D46" s="61" t="s">
        <v>24</v>
      </c>
      <c r="E46" s="61" t="s">
        <v>84</v>
      </c>
      <c r="F46" s="64">
        <f>-35</f>
        <v>-35</v>
      </c>
      <c r="G46" s="64">
        <f>-15</f>
        <v>-15</v>
      </c>
      <c r="H46" s="65">
        <f>IF(SIN(J46/$J$7)&gt;0,$J$7*ACOS((SIN(G46/$J$7)-SIN($D$4/$J$7)*K46)/(COS($D$4/$J$7)*SIN(L46/$J$7))),360-($J$7*ACOS((SIN(G46/$J$7)-SIN($D$4/$J$7)*K46)/(COS($D$4/$J$7)*SIN(L46/$J$7)))))</f>
        <v>66.13990818674834</v>
      </c>
      <c r="I46" s="66">
        <f>69.041*$J$7*(ACOS(SIN($D$4/$J$7)*SIN(G46/$J$7)+COS($D$4/$J$7)*COS(G46/$J$7)*COS(J46/$J$7)))</f>
        <v>10007.374150019912</v>
      </c>
      <c r="J46" s="63">
        <f>+$D$3-F46</f>
        <v>147.06</v>
      </c>
      <c r="K46" s="63">
        <f>SIN($D$4/$J$7)*SIN(G46/$J$7)+COS($D$4/$J$7)*COS(G46/$J$7)*COS(J46/$J$7)</f>
        <v>-0.8186339450022818</v>
      </c>
      <c r="L46" s="63">
        <f t="shared" si="0"/>
        <v>144.9482792836128</v>
      </c>
      <c r="M46" s="67">
        <f>IF(SIN(N46/$J$7)&gt;0,$J$7*ACOS((SIN($D$4/$J$7)-SIN(G46/$J$7)*O46)/(COS(G46/$J$7)*SIN(P46/$J$7))),360-($J$7*ACOS((SIN($D$4/$J$7)-SIN(G46/$J$7)*O46)/(COS(G46/$J$7)*SIN(P46/$J$7)))))</f>
        <v>307.9018284513343</v>
      </c>
      <c r="N46" s="68">
        <f>+F46-$D$3</f>
        <v>-147.06</v>
      </c>
      <c r="O46" s="69">
        <f>SIN(G46/$J$7)*SIN($D$4/$J$7)+COS(G46/$J$7)*COS($D$4/$J$7)*COS(N46/$J$7)</f>
        <v>-0.8186339450022818</v>
      </c>
      <c r="P46" s="59">
        <f t="shared" si="1"/>
        <v>144.9482792836128</v>
      </c>
      <c r="Q46" s="38"/>
    </row>
    <row r="47" spans="1:17" ht="12" customHeight="1">
      <c r="A47" s="46">
        <f t="shared" si="2"/>
        <v>40</v>
      </c>
      <c r="B47" s="46" t="s">
        <v>110</v>
      </c>
      <c r="C47" s="46" t="s">
        <v>111</v>
      </c>
      <c r="D47" s="61" t="s">
        <v>24</v>
      </c>
      <c r="E47" s="61" t="s">
        <v>48</v>
      </c>
      <c r="F47" s="64">
        <f>-3</f>
        <v>-3</v>
      </c>
      <c r="G47" s="64">
        <v>36.7</v>
      </c>
      <c r="H47" s="65">
        <f>IF(SIN(J47/$J$7)&gt;0,$J$7*ACOS((SIN(G47/$J$7)-SIN($D$4/$J$7)*K47)/(COS($D$4/$J$7)*SIN(L47/$J$7))),360-($J$7*ACOS((SIN(G47/$J$7)-SIN($D$4/$J$7)*K47)/(COS($D$4/$J$7)*SIN(L47/$J$7)))))</f>
        <v>46.64487985470487</v>
      </c>
      <c r="I47" s="66">
        <f>69.041*$J$7*(ACOS(SIN($D$4/$J$7)*SIN(G47/$J$7)+COS($D$4/$J$7)*COS(G47/$J$7)*COS(J47/$J$7)))</f>
        <v>6026.681463492193</v>
      </c>
      <c r="J47" s="63">
        <f>+$D$3-F47</f>
        <v>115.06</v>
      </c>
      <c r="K47" s="63">
        <f>SIN($D$4/$J$7)*SIN(G47/$J$7)+COS($D$4/$J$7)*COS(G47/$J$7)*COS(J47/$J$7)</f>
        <v>0.04725741310857512</v>
      </c>
      <c r="L47" s="63">
        <f t="shared" si="0"/>
        <v>87.29134084807859</v>
      </c>
      <c r="M47" s="67">
        <f>IF(SIN(N47/$J$7)&gt;0,$J$7*ACOS((SIN($D$4/$J$7)-SIN(G47/$J$7)*O47)/(COS(G47/$J$7)*SIN(P47/$J$7))),360-($J$7*ACOS((SIN($D$4/$J$7)-SIN(G47/$J$7)*O47)/(COS(G47/$J$7)*SIN(P47/$J$7)))))</f>
        <v>310.905066845011</v>
      </c>
      <c r="N47" s="68">
        <f>+F47-$D$3</f>
        <v>-115.06</v>
      </c>
      <c r="O47" s="69">
        <f>SIN(G47/$J$7)*SIN($D$4/$J$7)+COS(G47/$J$7)*COS($D$4/$J$7)*COS(N47/$J$7)</f>
        <v>0.04725741310857512</v>
      </c>
      <c r="P47" s="59">
        <f t="shared" si="1"/>
        <v>87.29134084807859</v>
      </c>
      <c r="Q47" s="38"/>
    </row>
    <row r="48" spans="1:17" ht="12" customHeight="1">
      <c r="A48" s="46">
        <f t="shared" si="2"/>
        <v>41</v>
      </c>
      <c r="B48" s="46" t="s">
        <v>112</v>
      </c>
      <c r="C48" s="46" t="s">
        <v>113</v>
      </c>
      <c r="D48" s="61" t="s">
        <v>70</v>
      </c>
      <c r="E48" s="61" t="s">
        <v>105</v>
      </c>
      <c r="F48" s="64">
        <v>59.5</v>
      </c>
      <c r="G48" s="64">
        <v>11.5</v>
      </c>
      <c r="H48" s="65">
        <f>IF(SIN(J48/$J$7)&gt;0,$J$7*ACOS((SIN(G48/$J$7)-SIN($D$4/$J$7)*K48)/(COS($D$4/$J$7)*SIN(L48/$J$7))),360-($J$7*ACOS((SIN(G48/$J$7)-SIN($D$4/$J$7)*K48)/(COS($D$4/$J$7)*SIN(L48/$J$7)))))</f>
        <v>101.83804573168844</v>
      </c>
      <c r="I48" s="66">
        <f>69.041*$J$7*(ACOS(SIN($D$4/$J$7)*SIN(G48/$J$7)+COS($D$4/$J$7)*COS(G48/$J$7)*COS(J48/$J$7)))</f>
        <v>3635.1007243181903</v>
      </c>
      <c r="J48" s="63">
        <f>+$D$3-F48</f>
        <v>52.56</v>
      </c>
      <c r="K48" s="63">
        <f>SIN($D$4/$J$7)*SIN(G48/$J$7)+COS($D$4/$J$7)*COS(G48/$J$7)*COS(J48/$J$7)</f>
        <v>0.606663847693398</v>
      </c>
      <c r="L48" s="63">
        <f t="shared" si="0"/>
        <v>52.651333617968895</v>
      </c>
      <c r="M48" s="67">
        <f>IF(SIN(N48/$J$7)&gt;0,$J$7*ACOS((SIN($D$4/$J$7)-SIN(G48/$J$7)*O48)/(COS(G48/$J$7)*SIN(P48/$J$7))),360-($J$7*ACOS((SIN($D$4/$J$7)-SIN(G48/$J$7)*O48)/(COS(G48/$J$7)*SIN(P48/$J$7)))))</f>
        <v>303.6550706972542</v>
      </c>
      <c r="N48" s="68">
        <f>+F48-$D$3</f>
        <v>-52.56</v>
      </c>
      <c r="O48" s="69">
        <f>SIN(G48/$J$7)*SIN($D$4/$J$7)+COS(G48/$J$7)*COS($D$4/$J$7)*COS(N48/$J$7)</f>
        <v>0.606663847693398</v>
      </c>
      <c r="P48" s="59">
        <f t="shared" si="1"/>
        <v>52.651333617968895</v>
      </c>
      <c r="Q48" s="38"/>
    </row>
    <row r="49" spans="1:17" ht="12" customHeight="1">
      <c r="A49" s="46">
        <f t="shared" si="2"/>
        <v>42</v>
      </c>
      <c r="B49" s="46" t="s">
        <v>114</v>
      </c>
      <c r="C49" s="46" t="s">
        <v>115</v>
      </c>
      <c r="D49" s="61" t="s">
        <v>17</v>
      </c>
      <c r="E49" s="61" t="s">
        <v>65</v>
      </c>
      <c r="F49" s="64">
        <f>-73.4</f>
        <v>-73.4</v>
      </c>
      <c r="G49" s="64">
        <v>4.4</v>
      </c>
      <c r="H49" s="65">
        <f>IF(SIN(J49/$J$7)&gt;0,$J$7*ACOS((SIN(G49/$J$7)-SIN($D$4/$J$7)*K49)/(COS($D$4/$J$7)*SIN(L49/$J$7))),360-($J$7*ACOS((SIN(G49/$J$7)-SIN($D$4/$J$7)*K49)/(COS($D$4/$J$7)*SIN(L49/$J$7)))))</f>
        <v>351.19502294655763</v>
      </c>
      <c r="I49" s="66">
        <f>69.041*$J$7*(ACOS(SIN($D$4/$J$7)*SIN(G49/$J$7)+COS($D$4/$J$7)*COS(G49/$J$7)*COS(J49/$J$7)))</f>
        <v>9783.11755444388</v>
      </c>
      <c r="J49" s="63">
        <f>+$D$3-F49</f>
        <v>185.46</v>
      </c>
      <c r="K49" s="63">
        <f>SIN($D$4/$J$7)*SIN(G49/$J$7)+COS($D$4/$J$7)*COS(G49/$J$7)*COS(J49/$J$7)</f>
        <v>-0.7847776011476962</v>
      </c>
      <c r="L49" s="63">
        <f t="shared" si="0"/>
        <v>141.70011376492056</v>
      </c>
      <c r="M49" s="67">
        <f>IF(SIN(N49/$J$7)&gt;0,$J$7*ACOS((SIN($D$4/$J$7)-SIN(G49/$J$7)*O49)/(COS(G49/$J$7)*SIN(P49/$J$7))),360-($J$7*ACOS((SIN($D$4/$J$7)-SIN(G49/$J$7)*O49)/(COS(G49/$J$7)*SIN(P49/$J$7)))))</f>
        <v>7.351009167370933</v>
      </c>
      <c r="N49" s="68">
        <f>+F49-$D$3</f>
        <v>-185.46</v>
      </c>
      <c r="O49" s="69">
        <f>SIN(G49/$J$7)*SIN($D$4/$J$7)+COS(G49/$J$7)*COS($D$4/$J$7)*COS(N49/$J$7)</f>
        <v>-0.7847776011476962</v>
      </c>
      <c r="P49" s="59">
        <f t="shared" si="1"/>
        <v>141.70011376492056</v>
      </c>
      <c r="Q49" s="38"/>
    </row>
    <row r="50" spans="1:17" ht="12" customHeight="1">
      <c r="A50" s="46">
        <f t="shared" si="2"/>
        <v>43</v>
      </c>
      <c r="B50" s="46" t="s">
        <v>116</v>
      </c>
      <c r="C50" s="46" t="s">
        <v>117</v>
      </c>
      <c r="D50" s="61" t="s">
        <v>118</v>
      </c>
      <c r="E50" s="61" t="s">
        <v>119</v>
      </c>
      <c r="F50" s="64">
        <v>58.2</v>
      </c>
      <c r="G50" s="64">
        <v>6.8</v>
      </c>
      <c r="H50" s="65">
        <f>IF(SIN(J50/$J$7)&gt;0,$J$7*ACOS((SIN(G50/$J$7)-SIN($D$4/$J$7)*K50)/(COS($D$4/$J$7)*SIN(L50/$J$7))),360-($J$7*ACOS((SIN(G50/$J$7)-SIN($D$4/$J$7)*K50)/(COS($D$4/$J$7)*SIN(L50/$J$7)))))</f>
        <v>105.67120536912637</v>
      </c>
      <c r="I50" s="66">
        <f>69.041*$J$7*(ACOS(SIN($D$4/$J$7)*SIN(G50/$J$7)+COS($D$4/$J$7)*COS(G50/$J$7)*COS(J50/$J$7)))</f>
        <v>3893.451196408826</v>
      </c>
      <c r="J50" s="63">
        <f>+$D$3-F50</f>
        <v>53.86</v>
      </c>
      <c r="K50" s="63">
        <f>SIN($D$4/$J$7)*SIN(G50/$J$7)+COS($D$4/$J$7)*COS(G50/$J$7)*COS(J50/$J$7)</f>
        <v>0.5534886561433265</v>
      </c>
      <c r="L50" s="63">
        <f t="shared" si="0"/>
        <v>56.39331985934193</v>
      </c>
      <c r="M50" s="67">
        <f>IF(SIN(N50/$J$7)&gt;0,$J$7*ACOS((SIN($D$4/$J$7)-SIN(G50/$J$7)*O50)/(COS(G50/$J$7)*SIN(P50/$J$7))),360-($J$7*ACOS((SIN($D$4/$J$7)-SIN(G50/$J$7)*O50)/(COS(G50/$J$7)*SIN(P50/$J$7)))))</f>
        <v>306.08842694643926</v>
      </c>
      <c r="N50" s="68">
        <f>+F50-$D$3</f>
        <v>-53.86</v>
      </c>
      <c r="O50" s="69">
        <f>SIN(G50/$J$7)*SIN($D$4/$J$7)+COS(G50/$J$7)*COS($D$4/$J$7)*COS(N50/$J$7)</f>
        <v>0.5534886561433265</v>
      </c>
      <c r="P50" s="59">
        <f t="shared" si="1"/>
        <v>56.39331985934193</v>
      </c>
      <c r="Q50" s="38"/>
    </row>
    <row r="51" spans="1:17" ht="12" customHeight="1">
      <c r="A51" s="46">
        <f t="shared" si="2"/>
        <v>44</v>
      </c>
      <c r="B51" s="46" t="s">
        <v>120</v>
      </c>
      <c r="C51" s="46" t="s">
        <v>121</v>
      </c>
      <c r="D51" s="61" t="s">
        <v>13</v>
      </c>
      <c r="E51" s="61" t="s">
        <v>14</v>
      </c>
      <c r="F51" s="64">
        <v>-16</v>
      </c>
      <c r="G51" s="64">
        <f>45+50/60</f>
        <v>45.833333333333336</v>
      </c>
      <c r="H51" s="65">
        <f>IF(SIN(J51/$J$7)&gt;0,$J$7*ACOS((SIN(G51/$J$7)-SIN($D$4/$J$7)*K51)/(COS($D$4/$J$7)*SIN(L51/$J$7))),360-($J$7*ACOS((SIN(G51/$J$7)-SIN($D$4/$J$7)*K51)/(COS($D$4/$J$7)*SIN(L51/$J$7)))))</f>
        <v>33.29853762870566</v>
      </c>
      <c r="I51" s="66">
        <f>69.041*$J$7*(ACOS(SIN($D$4/$J$7)*SIN(G51/$J$7)+COS($D$4/$J$7)*COS(G51/$J$7)*COS(J51/$J$7)))</f>
        <v>6061.519862763815</v>
      </c>
      <c r="J51" s="63">
        <f>+$D$3-F51</f>
        <v>128.06</v>
      </c>
      <c r="K51" s="63">
        <f>SIN($D$4/$J$7)*SIN(G51/$J$7)+COS($D$4/$J$7)*COS(G51/$J$7)*COS(J51/$J$7)</f>
        <v>0.03845852385943116</v>
      </c>
      <c r="L51" s="63">
        <f t="shared" si="0"/>
        <v>87.79594534789204</v>
      </c>
      <c r="M51" s="67">
        <f>IF(SIN(N51/$J$7)&gt;0,$J$7*ACOS((SIN($D$4/$J$7)-SIN(G51/$J$7)*O51)/(COS(G51/$J$7)*SIN(P51/$J$7))),360-($J$7*ACOS((SIN($D$4/$J$7)-SIN(G51/$J$7)*O51)/(COS(G51/$J$7)*SIN(P51/$J$7)))))</f>
        <v>318.9528908635666</v>
      </c>
      <c r="N51" s="68">
        <f>+F51-$D$3</f>
        <v>-128.06</v>
      </c>
      <c r="O51" s="69">
        <f>SIN(G51/$J$7)*SIN($D$4/$J$7)+COS(G51/$J$7)*COS($D$4/$J$7)*COS(N51/$J$7)</f>
        <v>0.03845852385943116</v>
      </c>
      <c r="P51" s="59">
        <f t="shared" si="1"/>
        <v>87.79594534789204</v>
      </c>
      <c r="Q51" s="38"/>
    </row>
    <row r="52" spans="1:17" ht="12" customHeight="1">
      <c r="A52" s="46">
        <f t="shared" si="2"/>
        <v>45</v>
      </c>
      <c r="B52" s="46" t="s">
        <v>122</v>
      </c>
      <c r="C52" s="46" t="s">
        <v>123</v>
      </c>
      <c r="D52" s="61" t="s">
        <v>24</v>
      </c>
      <c r="E52" s="61" t="s">
        <v>51</v>
      </c>
      <c r="F52" s="64">
        <v>0.2</v>
      </c>
      <c r="G52" s="64">
        <v>5.5</v>
      </c>
      <c r="H52" s="65">
        <f>IF(SIN(J52/$J$7)&gt;0,$J$7*ACOS((SIN(G52/$J$7)-SIN($D$4/$J$7)*K52)/(COS($D$4/$J$7)*SIN(L52/$J$7))),360-($J$7*ACOS((SIN(G52/$J$7)-SIN($D$4/$J$7)*K52)/(COS($D$4/$J$7)*SIN(L52/$J$7)))))</f>
        <v>72.87141210799906</v>
      </c>
      <c r="I52" s="66">
        <f>69.041*$J$7*(ACOS(SIN($D$4/$J$7)*SIN(G52/$J$7)+COS($D$4/$J$7)*COS(G52/$J$7)*COS(J52/$J$7)))</f>
        <v>7237.397973395905</v>
      </c>
      <c r="J52" s="63">
        <f>+$D$3-F52</f>
        <v>111.86</v>
      </c>
      <c r="K52" s="63">
        <f>SIN($D$4/$J$7)*SIN(G52/$J$7)+COS($D$4/$J$7)*COS(G52/$J$7)*COS(J52/$J$7)</f>
        <v>-0.2559103925699928</v>
      </c>
      <c r="L52" s="63">
        <f t="shared" si="0"/>
        <v>104.82753687513079</v>
      </c>
      <c r="M52" s="67">
        <f>IF(SIN(N52/$J$7)&gt;0,$J$7*ACOS((SIN($D$4/$J$7)-SIN(G52/$J$7)*O52)/(COS(G52/$J$7)*SIN(P52/$J$7))),360-($J$7*ACOS((SIN($D$4/$J$7)-SIN(G52/$J$7)*O52)/(COS(G52/$J$7)*SIN(P52/$J$7)))))</f>
        <v>306.8581681595424</v>
      </c>
      <c r="N52" s="68">
        <f>+F52-$D$3</f>
        <v>-111.86</v>
      </c>
      <c r="O52" s="69">
        <f>SIN(G52/$J$7)*SIN($D$4/$J$7)+COS(G52/$J$7)*COS($D$4/$J$7)*COS(N52/$J$7)</f>
        <v>-0.2559103925699928</v>
      </c>
      <c r="P52" s="59">
        <f t="shared" si="1"/>
        <v>104.82753687513079</v>
      </c>
      <c r="Q52" s="38"/>
    </row>
    <row r="53" spans="1:17" ht="12" customHeight="1">
      <c r="A53" s="46">
        <f t="shared" si="2"/>
        <v>46</v>
      </c>
      <c r="B53" s="46" t="s">
        <v>124</v>
      </c>
      <c r="C53" s="46" t="s">
        <v>125</v>
      </c>
      <c r="D53" s="61" t="s">
        <v>13</v>
      </c>
      <c r="E53" s="61" t="s">
        <v>14</v>
      </c>
      <c r="F53" s="64">
        <f>-14.4</f>
        <v>-14.4</v>
      </c>
      <c r="G53" s="64">
        <v>36</v>
      </c>
      <c r="H53" s="65">
        <f>IF(SIN(J53/$J$7)&gt;0,$J$7*ACOS((SIN(G53/$J$7)-SIN($D$4/$J$7)*K53)/(COS($D$4/$J$7)*SIN(L53/$J$7))),360-($J$7*ACOS((SIN(G53/$J$7)-SIN($D$4/$J$7)*K53)/(COS($D$4/$J$7)*SIN(L53/$J$7)))))</f>
        <v>40.73400798753981</v>
      </c>
      <c r="I53" s="66">
        <f>69.041*$J$7*(ACOS(SIN($D$4/$J$7)*SIN(G53/$J$7)+COS($D$4/$J$7)*COS(G53/$J$7)*COS(J53/$J$7)))</f>
        <v>6513.92567011447</v>
      </c>
      <c r="J53" s="63">
        <f>+$D$3-F53</f>
        <v>126.46000000000001</v>
      </c>
      <c r="K53" s="63">
        <f>SIN($D$4/$J$7)*SIN(G53/$J$7)+COS($D$4/$J$7)*COS(G53/$J$7)*COS(J53/$J$7)</f>
        <v>-0.07582554471902786</v>
      </c>
      <c r="L53" s="63">
        <f t="shared" si="0"/>
        <v>94.3486576109047</v>
      </c>
      <c r="M53" s="67">
        <f>IF(SIN(N53/$J$7)&gt;0,$J$7*ACOS((SIN($D$4/$J$7)-SIN(G53/$J$7)*O53)/(COS(G53/$J$7)*SIN(P53/$J$7))),360-($J$7*ACOS((SIN($D$4/$J$7)-SIN(G53/$J$7)*O53)/(COS(G53/$J$7)*SIN(P53/$J$7)))))</f>
        <v>317.7614729740145</v>
      </c>
      <c r="N53" s="68">
        <f>+F53-$D$3</f>
        <v>-126.46000000000001</v>
      </c>
      <c r="O53" s="69">
        <f>SIN(G53/$J$7)*SIN($D$4/$J$7)+COS(G53/$J$7)*COS($D$4/$J$7)*COS(N53/$J$7)</f>
        <v>-0.07582554471902786</v>
      </c>
      <c r="P53" s="59">
        <f t="shared" si="1"/>
        <v>94.3486576109047</v>
      </c>
      <c r="Q53" s="38"/>
    </row>
    <row r="54" spans="1:17" ht="12" customHeight="1">
      <c r="A54" s="46">
        <f t="shared" si="2"/>
        <v>47</v>
      </c>
      <c r="B54" s="46" t="s">
        <v>126</v>
      </c>
      <c r="C54" s="46" t="s">
        <v>127</v>
      </c>
      <c r="D54" s="61" t="s">
        <v>24</v>
      </c>
      <c r="E54" s="61" t="s">
        <v>32</v>
      </c>
      <c r="F54" s="64">
        <f>-28</f>
        <v>-28</v>
      </c>
      <c r="G54" s="64">
        <f>-15</f>
        <v>-15</v>
      </c>
      <c r="H54" s="65">
        <f>IF(SIN(J54/$J$7)&gt;0,$J$7*ACOS((SIN(G54/$J$7)-SIN($D$4/$J$7)*K54)/(COS($D$4/$J$7)*SIN(L54/$J$7))),360-($J$7*ACOS((SIN(G54/$J$7)-SIN($D$4/$J$7)*K54)/(COS($D$4/$J$7)*SIN(L54/$J$7)))))</f>
        <v>72.6616598296859</v>
      </c>
      <c r="I54" s="66">
        <f>69.041*$J$7*(ACOS(SIN($D$4/$J$7)*SIN(G54/$J$7)+COS($D$4/$J$7)*COS(G54/$J$7)*COS(J54/$J$7)))</f>
        <v>9630.283222576769</v>
      </c>
      <c r="J54" s="63">
        <f>+$D$3-F54</f>
        <v>140.06</v>
      </c>
      <c r="K54" s="63">
        <f>SIN($D$4/$J$7)*SIN(G54/$J$7)+COS($D$4/$J$7)*COS(G54/$J$7)*COS(J54/$J$7)</f>
        <v>-0.7602522282359873</v>
      </c>
      <c r="L54" s="63">
        <f t="shared" si="0"/>
        <v>139.48643882007457</v>
      </c>
      <c r="M54" s="67">
        <f>IF(SIN(N54/$J$7)&gt;0,$J$7*ACOS((SIN($D$4/$J$7)-SIN(G54/$J$7)*O54)/(COS(G54/$J$7)*SIN(P54/$J$7))),360-($J$7*ACOS((SIN($D$4/$J$7)-SIN(G54/$J$7)*O54)/(COS(G54/$J$7)*SIN(P54/$J$7)))))</f>
        <v>304.5533175493659</v>
      </c>
      <c r="N54" s="68">
        <f>+F54-$D$3</f>
        <v>-140.06</v>
      </c>
      <c r="O54" s="69">
        <f>SIN(G54/$J$7)*SIN($D$4/$J$7)+COS(G54/$J$7)*COS($D$4/$J$7)*COS(N54/$J$7)</f>
        <v>-0.7602522282359873</v>
      </c>
      <c r="P54" s="59">
        <f t="shared" si="1"/>
        <v>139.48643882007457</v>
      </c>
      <c r="Q54" s="38"/>
    </row>
    <row r="55" spans="1:17" ht="12" customHeight="1">
      <c r="A55" s="46">
        <f t="shared" si="2"/>
        <v>48</v>
      </c>
      <c r="B55" s="46" t="s">
        <v>128</v>
      </c>
      <c r="C55" s="46" t="s">
        <v>129</v>
      </c>
      <c r="D55" s="61" t="s">
        <v>17</v>
      </c>
      <c r="E55" s="61" t="s">
        <v>60</v>
      </c>
      <c r="F55" s="64">
        <f>-48</f>
        <v>-48</v>
      </c>
      <c r="G55" s="64">
        <v>29</v>
      </c>
      <c r="H55" s="65">
        <f>IF(SIN(J55/$J$7)&gt;0,$J$7*ACOS((SIN(G55/$J$7)-SIN($D$4/$J$7)*K55)/(COS($D$4/$J$7)*SIN(L55/$J$7))),360-($J$7*ACOS((SIN(G55/$J$7)-SIN($D$4/$J$7)*K55)/(COS($D$4/$J$7)*SIN(L55/$J$7)))))</f>
        <v>19.160576779913818</v>
      </c>
      <c r="I55" s="66">
        <f>69.041*$J$7*(ACOS(SIN($D$4/$J$7)*SIN(G55/$J$7)+COS($D$4/$J$7)*COS(G55/$J$7)*COS(J55/$J$7)))</f>
        <v>7916.430911047304</v>
      </c>
      <c r="J55" s="63">
        <f>+$D$3-F55</f>
        <v>160.06</v>
      </c>
      <c r="K55" s="63">
        <f>SIN($D$4/$J$7)*SIN(G55/$J$7)+COS($D$4/$J$7)*COS(G55/$J$7)*COS(J55/$J$7)</f>
        <v>-0.4172763297460537</v>
      </c>
      <c r="L55" s="63">
        <f t="shared" si="0"/>
        <v>114.66274983049644</v>
      </c>
      <c r="M55" s="67">
        <f>IF(SIN(N55/$J$7)&gt;0,$J$7*ACOS((SIN($D$4/$J$7)-SIN(G55/$J$7)*O55)/(COS(G55/$J$7)*SIN(P55/$J$7))),360-($J$7*ACOS((SIN($D$4/$J$7)-SIN(G55/$J$7)*O55)/(COS(G55/$J$7)*SIN(P55/$J$7)))))</f>
        <v>341.77497634509706</v>
      </c>
      <c r="N55" s="68">
        <f>+F55-$D$3</f>
        <v>-160.06</v>
      </c>
      <c r="O55" s="69">
        <f>SIN(G55/$J$7)*SIN($D$4/$J$7)+COS(G55/$J$7)*COS($D$4/$J$7)*COS(N55/$J$7)</f>
        <v>-0.4172763297460537</v>
      </c>
      <c r="P55" s="59">
        <f t="shared" si="1"/>
        <v>114.66274983049644</v>
      </c>
      <c r="Q55" s="38"/>
    </row>
    <row r="56" spans="1:17" ht="12" customHeight="1">
      <c r="A56" s="46">
        <f t="shared" si="2"/>
        <v>49</v>
      </c>
      <c r="B56" s="46" t="s">
        <v>130</v>
      </c>
      <c r="C56" s="46" t="s">
        <v>131</v>
      </c>
      <c r="D56" s="61" t="s">
        <v>24</v>
      </c>
      <c r="E56" s="61" t="s">
        <v>51</v>
      </c>
      <c r="F56" s="64">
        <v>13.2</v>
      </c>
      <c r="G56" s="64">
        <v>8.5</v>
      </c>
      <c r="H56" s="65">
        <f>IF(SIN(J56/$J$7)&gt;0,$J$7*ACOS((SIN(G56/$J$7)-SIN($D$4/$J$7)*K56)/(COS($D$4/$J$7)*SIN(L56/$J$7))),360-($J$7*ACOS((SIN(G56/$J$7)-SIN($D$4/$J$7)*K56)/(COS($D$4/$J$7)*SIN(L56/$J$7)))))</f>
        <v>78.01916963444685</v>
      </c>
      <c r="I56" s="66">
        <f>69.041*$J$7*(ACOS(SIN($D$4/$J$7)*SIN(G56/$J$7)+COS($D$4/$J$7)*COS(G56/$J$7)*COS(J56/$J$7)))</f>
        <v>6392.798406120789</v>
      </c>
      <c r="J56" s="63">
        <f>+$D$3-F56</f>
        <v>98.86</v>
      </c>
      <c r="K56" s="63">
        <f>SIN($D$4/$J$7)*SIN(G56/$J$7)+COS($D$4/$J$7)*COS(G56/$J$7)*COS(J56/$J$7)</f>
        <v>-0.04526242968164611</v>
      </c>
      <c r="L56" s="63">
        <f t="shared" si="0"/>
        <v>92.5942325012788</v>
      </c>
      <c r="M56" s="67">
        <f>IF(SIN(N56/$J$7)&gt;0,$J$7*ACOS((SIN($D$4/$J$7)-SIN(G56/$J$7)*O56)/(COS(G56/$J$7)*SIN(P56/$J$7))),360-($J$7*ACOS((SIN($D$4/$J$7)-SIN(G56/$J$7)*O56)/(COS(G56/$J$7)*SIN(P56/$J$7)))))</f>
        <v>304.4819916645109</v>
      </c>
      <c r="N56" s="68">
        <f>+F56-$D$3</f>
        <v>-98.86</v>
      </c>
      <c r="O56" s="69">
        <f>SIN(G56/$J$7)*SIN($D$4/$J$7)+COS(G56/$J$7)*COS($D$4/$J$7)*COS(N56/$J$7)</f>
        <v>-0.04526242968164611</v>
      </c>
      <c r="P56" s="59">
        <f t="shared" si="1"/>
        <v>92.5942325012788</v>
      </c>
      <c r="Q56" s="38"/>
    </row>
    <row r="57" spans="1:17" ht="12" customHeight="1">
      <c r="A57" s="46">
        <f t="shared" si="2"/>
        <v>50</v>
      </c>
      <c r="B57" s="46" t="s">
        <v>132</v>
      </c>
      <c r="C57" s="46" t="s">
        <v>133</v>
      </c>
      <c r="D57" s="61" t="s">
        <v>17</v>
      </c>
      <c r="E57" s="61" t="s">
        <v>134</v>
      </c>
      <c r="F57" s="64">
        <f>-102</f>
        <v>-102</v>
      </c>
      <c r="G57" s="64">
        <v>3</v>
      </c>
      <c r="H57" s="65">
        <f>IF(SIN(J57/$J$7)&gt;0,$J$7*ACOS((SIN(G57/$J$7)-SIN($D$4/$J$7)*K57)/(COS($D$4/$J$7)*SIN(L57/$J$7))),360-($J$7*ACOS((SIN(G57/$J$7)-SIN($D$4/$J$7)*K57)/(COS($D$4/$J$7)*SIN(L57/$J$7)))))</f>
        <v>311.84434111371326</v>
      </c>
      <c r="I57" s="66">
        <f>69.041*$J$7*(ACOS(SIN($D$4/$J$7)*SIN(G57/$J$7)+COS($D$4/$J$7)*COS(G57/$J$7)*COS(J57/$J$7)))</f>
        <v>9068.046560500694</v>
      </c>
      <c r="J57" s="63">
        <f>+$D$3-F57</f>
        <v>214.06</v>
      </c>
      <c r="K57" s="63">
        <f>SIN($D$4/$J$7)*SIN(G57/$J$7)+COS($D$4/$J$7)*COS(G57/$J$7)*COS(J57/$J$7)</f>
        <v>-0.6605642551170943</v>
      </c>
      <c r="L57" s="63">
        <f t="shared" si="0"/>
        <v>131.34292030099064</v>
      </c>
      <c r="M57" s="67">
        <f>IF(SIN(N57/$J$7)&gt;0,$J$7*ACOS((SIN($D$4/$J$7)-SIN(G57/$J$7)*O57)/(COS(G57/$J$7)*SIN(P57/$J$7))),360-($J$7*ACOS((SIN($D$4/$J$7)-SIN(G57/$J$7)*O57)/(COS(G57/$J$7)*SIN(P57/$J$7)))))</f>
        <v>38.44071411114523</v>
      </c>
      <c r="N57" s="68">
        <f>+F57-$D$3</f>
        <v>-214.06</v>
      </c>
      <c r="O57" s="69">
        <f>SIN(G57/$J$7)*SIN($D$4/$J$7)+COS(G57/$J$7)*COS($D$4/$J$7)*COS(N57/$J$7)</f>
        <v>-0.6605642551170943</v>
      </c>
      <c r="P57" s="59">
        <f t="shared" si="1"/>
        <v>131.34292030099064</v>
      </c>
      <c r="Q57" s="38"/>
    </row>
    <row r="58" spans="1:17" ht="12" customHeight="1">
      <c r="A58" s="46">
        <f t="shared" si="2"/>
        <v>51</v>
      </c>
      <c r="B58" s="46" t="s">
        <v>135</v>
      </c>
      <c r="C58" s="46" t="s">
        <v>136</v>
      </c>
      <c r="D58" s="61" t="s">
        <v>17</v>
      </c>
      <c r="E58" s="61" t="s">
        <v>134</v>
      </c>
      <c r="F58" s="64">
        <f>-115</f>
        <v>-115</v>
      </c>
      <c r="G58" s="64">
        <v>3</v>
      </c>
      <c r="H58" s="65">
        <f>IF(SIN(J58/$J$7)&gt;0,$J$7*ACOS((SIN(G58/$J$7)-SIN($D$4/$J$7)*K58)/(COS($D$4/$J$7)*SIN(L58/$J$7))),360-($J$7*ACOS((SIN(G58/$J$7)-SIN($D$4/$J$7)*K58)/(COS($D$4/$J$7)*SIN(L58/$J$7)))))</f>
        <v>299.8536396979691</v>
      </c>
      <c r="I58" s="66">
        <f>69.041*$J$7*(ACOS(SIN($D$4/$J$7)*SIN(G58/$J$7)+COS($D$4/$J$7)*COS(G58/$J$7)*COS(J58/$J$7)))</f>
        <v>8460.99224530586</v>
      </c>
      <c r="J58" s="63">
        <f>+$D$3-F58</f>
        <v>227.06</v>
      </c>
      <c r="K58" s="63">
        <f>SIN($D$4/$J$7)*SIN(G58/$J$7)+COS($D$4/$J$7)*COS(G58/$J$7)*COS(J58/$J$7)</f>
        <v>-0.5380391721871871</v>
      </c>
      <c r="L58" s="63">
        <f t="shared" si="0"/>
        <v>122.5502563014131</v>
      </c>
      <c r="M58" s="67">
        <f>IF(SIN(N58/$J$7)&gt;0,$J$7*ACOS((SIN($D$4/$J$7)-SIN(G58/$J$7)*O58)/(COS(G58/$J$7)*SIN(P58/$J$7))),360-($J$7*ACOS((SIN($D$4/$J$7)-SIN(G58/$J$7)*O58)/(COS(G58/$J$7)*SIN(P58/$J$7)))))</f>
        <v>46.369358073563895</v>
      </c>
      <c r="N58" s="68">
        <f>+F58-$D$3</f>
        <v>-227.06</v>
      </c>
      <c r="O58" s="69">
        <f>SIN(G58/$J$7)*SIN($D$4/$J$7)+COS(G58/$J$7)*COS($D$4/$J$7)*COS(N58/$J$7)</f>
        <v>-0.5380391721871871</v>
      </c>
      <c r="P58" s="59">
        <f t="shared" si="1"/>
        <v>122.5502563014131</v>
      </c>
      <c r="Q58" s="38"/>
    </row>
    <row r="59" spans="1:17" ht="12" customHeight="1">
      <c r="A59" s="46">
        <f t="shared" si="2"/>
        <v>52</v>
      </c>
      <c r="B59" s="46" t="s">
        <v>137</v>
      </c>
      <c r="C59" s="46" t="s">
        <v>138</v>
      </c>
      <c r="D59" s="61" t="s">
        <v>17</v>
      </c>
      <c r="E59" s="61" t="s">
        <v>65</v>
      </c>
      <c r="F59" s="64">
        <f>-85</f>
        <v>-85</v>
      </c>
      <c r="G59" s="64">
        <v>27.5</v>
      </c>
      <c r="H59" s="65">
        <f>IF(SIN(J59/$J$7)&gt;0,$J$7*ACOS((SIN(G59/$J$7)-SIN($D$4/$J$7)*K59)/(COS($D$4/$J$7)*SIN(L59/$J$7))),360-($J$7*ACOS((SIN(G59/$J$7)-SIN($D$4/$J$7)*K59)/(COS($D$4/$J$7)*SIN(L59/$J$7)))))</f>
        <v>343.0434472017736</v>
      </c>
      <c r="I59" s="66">
        <f>69.041*$J$7*(ACOS(SIN($D$4/$J$7)*SIN(G59/$J$7)+COS($D$4/$J$7)*COS(G59/$J$7)*COS(J59/$J$7)))</f>
        <v>8066.82889581694</v>
      </c>
      <c r="J59" s="63">
        <f>+$D$3-F59</f>
        <v>197.06</v>
      </c>
      <c r="K59" s="63">
        <f>SIN($D$4/$J$7)*SIN(G59/$J$7)+COS($D$4/$J$7)*COS(G59/$J$7)*COS(J59/$J$7)</f>
        <v>-0.4515182698233054</v>
      </c>
      <c r="L59" s="63">
        <f t="shared" si="0"/>
        <v>116.8411363655935</v>
      </c>
      <c r="M59" s="67">
        <f>IF(SIN(N59/$J$7)&gt;0,$J$7*ACOS((SIN($D$4/$J$7)-SIN(G59/$J$7)*O59)/(COS(G59/$J$7)*SIN(P59/$J$7))),360-($J$7*ACOS((SIN($D$4/$J$7)-SIN(G59/$J$7)*O59)/(COS(G59/$J$7)*SIN(P59/$J$7)))))</f>
        <v>15.90365950223447</v>
      </c>
      <c r="N59" s="68">
        <f>+F59-$D$3</f>
        <v>-197.06</v>
      </c>
      <c r="O59" s="69">
        <f>SIN(G59/$J$7)*SIN($D$4/$J$7)+COS(G59/$J$7)*COS($D$4/$J$7)*COS(N59/$J$7)</f>
        <v>-0.4515182698233054</v>
      </c>
      <c r="P59" s="59">
        <f t="shared" si="1"/>
        <v>116.8411363655935</v>
      </c>
      <c r="Q59" s="38"/>
    </row>
    <row r="60" spans="1:17" ht="12" customHeight="1">
      <c r="A60" s="46">
        <f t="shared" si="2"/>
        <v>53</v>
      </c>
      <c r="B60" s="46" t="s">
        <v>139</v>
      </c>
      <c r="C60" s="46" t="s">
        <v>140</v>
      </c>
      <c r="D60" s="61" t="s">
        <v>24</v>
      </c>
      <c r="E60" s="61" t="s">
        <v>32</v>
      </c>
      <c r="F60" s="64">
        <f>-15.3</f>
        <v>-15.3</v>
      </c>
      <c r="G60" s="64">
        <f>-4.3</f>
        <v>-4.3</v>
      </c>
      <c r="H60" s="65">
        <f>IF(SIN(J60/$J$7)&gt;0,$J$7*ACOS((SIN(G60/$J$7)-SIN($D$4/$J$7)*K60)/(COS($D$4/$J$7)*SIN(L60/$J$7))),360-($J$7*ACOS((SIN(G60/$J$7)-SIN($D$4/$J$7)*K60)/(COS($D$4/$J$7)*SIN(L60/$J$7)))))</f>
        <v>71.0631999151048</v>
      </c>
      <c r="I60" s="66">
        <f>69.041*$J$7*(ACOS(SIN($D$4/$J$7)*SIN(G60/$J$7)+COS($D$4/$J$7)*COS(G60/$J$7)*COS(J60/$J$7)))</f>
        <v>8497.245471143475</v>
      </c>
      <c r="J60" s="63">
        <f>+$D$3-F60</f>
        <v>127.36</v>
      </c>
      <c r="K60" s="63">
        <f>SIN($D$4/$J$7)*SIN(G60/$J$7)+COS($D$4/$J$7)*COS(G60/$J$7)*COS(J60/$J$7)</f>
        <v>-0.5457415531741794</v>
      </c>
      <c r="L60" s="63">
        <f t="shared" si="0"/>
        <v>123.07535335733078</v>
      </c>
      <c r="M60" s="67">
        <f>IF(SIN(N60/$J$7)&gt;0,$J$7*ACOS((SIN($D$4/$J$7)-SIN(G60/$J$7)*O60)/(COS(G60/$J$7)*SIN(P60/$J$7))),360-($J$7*ACOS((SIN($D$4/$J$7)-SIN(G60/$J$7)*O60)/(COS(G60/$J$7)*SIN(P60/$J$7)))))</f>
        <v>307.76560084978865</v>
      </c>
      <c r="N60" s="68">
        <f>+F60-$D$3</f>
        <v>-127.36</v>
      </c>
      <c r="O60" s="69">
        <f>SIN(G60/$J$7)*SIN($D$4/$J$7)+COS(G60/$J$7)*COS($D$4/$J$7)*COS(N60/$J$7)</f>
        <v>-0.5457415531741794</v>
      </c>
      <c r="P60" s="59">
        <f t="shared" si="1"/>
        <v>123.07535335733078</v>
      </c>
      <c r="Q60" s="38"/>
    </row>
    <row r="61" spans="1:17" ht="12" customHeight="1">
      <c r="A61" s="46">
        <f t="shared" si="2"/>
        <v>54</v>
      </c>
      <c r="B61" s="46" t="s">
        <v>141</v>
      </c>
      <c r="C61" s="46" t="s">
        <v>142</v>
      </c>
      <c r="D61" s="61" t="s">
        <v>24</v>
      </c>
      <c r="E61" s="61" t="s">
        <v>32</v>
      </c>
      <c r="F61" s="64">
        <f>-29</f>
        <v>-29</v>
      </c>
      <c r="G61" s="64">
        <f>-3</f>
        <v>-3</v>
      </c>
      <c r="H61" s="65">
        <f>IF(SIN(J61/$J$7)&gt;0,$J$7*ACOS((SIN(G61/$J$7)-SIN($D$4/$J$7)*K61)/(COS($D$4/$J$7)*SIN(L61/$J$7))),360-($J$7*ACOS((SIN(G61/$J$7)-SIN($D$4/$J$7)*K61)/(COS($D$4/$J$7)*SIN(L61/$J$7)))))</f>
        <v>58.43119196592355</v>
      </c>
      <c r="I61" s="66">
        <f>69.041*$J$7*(ACOS(SIN($D$4/$J$7)*SIN(G61/$J$7)+COS($D$4/$J$7)*COS(G61/$J$7)*COS(J61/$J$7)))</f>
        <v>9151.5339348287</v>
      </c>
      <c r="J61" s="63">
        <f>+$D$3-F61</f>
        <v>141.06</v>
      </c>
      <c r="K61" s="63">
        <f>SIN($D$4/$J$7)*SIN(G61/$J$7)+COS($D$4/$J$7)*COS(G61/$J$7)*COS(J61/$J$7)</f>
        <v>-0.6762611658470405</v>
      </c>
      <c r="L61" s="63">
        <f t="shared" si="0"/>
        <v>132.55216371183357</v>
      </c>
      <c r="M61" s="67">
        <f>IF(SIN(N61/$J$7)&gt;0,$J$7*ACOS((SIN($D$4/$J$7)-SIN(G61/$J$7)*O61)/(COS(G61/$J$7)*SIN(P61/$J$7))),360-($J$7*ACOS((SIN($D$4/$J$7)-SIN(G61/$J$7)*O61)/(COS(G61/$J$7)*SIN(P61/$J$7)))))</f>
        <v>314.6800296439963</v>
      </c>
      <c r="N61" s="68">
        <f>+F61-$D$3</f>
        <v>-141.06</v>
      </c>
      <c r="O61" s="69">
        <f>SIN(G61/$J$7)*SIN($D$4/$J$7)+COS(G61/$J$7)*COS($D$4/$J$7)*COS(N61/$J$7)</f>
        <v>-0.6762611658470405</v>
      </c>
      <c r="P61" s="59">
        <f t="shared" si="1"/>
        <v>132.55216371183357</v>
      </c>
      <c r="Q61" s="38"/>
    </row>
    <row r="62" spans="1:17" ht="12" customHeight="1">
      <c r="A62" s="46">
        <f t="shared" si="2"/>
        <v>55</v>
      </c>
      <c r="B62" s="46" t="s">
        <v>143</v>
      </c>
      <c r="C62" s="46" t="s">
        <v>144</v>
      </c>
      <c r="D62" s="61" t="s">
        <v>17</v>
      </c>
      <c r="E62" s="61" t="s">
        <v>134</v>
      </c>
      <c r="F62" s="64">
        <f>-103.8</f>
        <v>-103.8</v>
      </c>
      <c r="G62" s="64">
        <v>1.3</v>
      </c>
      <c r="H62" s="65">
        <f>IF(SIN(J62/$J$7)&gt;0,$J$7*ACOS((SIN(G62/$J$7)-SIN($D$4/$J$7)*K62)/(COS($D$4/$J$7)*SIN(L62/$J$7))),360-($J$7*ACOS((SIN(G62/$J$7)-SIN($D$4/$J$7)*K62)/(COS($D$4/$J$7)*SIN(L62/$J$7)))))</f>
        <v>308.5507786962261</v>
      </c>
      <c r="I62" s="66">
        <f>69.041*$J$7*(ACOS(SIN($D$4/$J$7)*SIN(G62/$J$7)+COS($D$4/$J$7)*COS(G62/$J$7)*COS(J62/$J$7)))</f>
        <v>9079.422030608812</v>
      </c>
      <c r="J62" s="63">
        <f>+$D$3-F62</f>
        <v>215.86</v>
      </c>
      <c r="K62" s="63">
        <f>SIN($D$4/$J$7)*SIN(G62/$J$7)+COS($D$4/$J$7)*COS(G62/$J$7)*COS(J62/$J$7)</f>
        <v>-0.6627204892357479</v>
      </c>
      <c r="L62" s="63">
        <f t="shared" si="0"/>
        <v>131.50768428337963</v>
      </c>
      <c r="M62" s="67">
        <f>IF(SIN(N62/$J$7)&gt;0,$J$7*ACOS((SIN($D$4/$J$7)-SIN(G62/$J$7)*O62)/(COS(G62/$J$7)*SIN(P62/$J$7))),360-($J$7*ACOS((SIN($D$4/$J$7)-SIN(G62/$J$7)*O62)/(COS(G62/$J$7)*SIN(P62/$J$7)))))</f>
        <v>40.68775784697498</v>
      </c>
      <c r="N62" s="68">
        <f>+F62-$D$3</f>
        <v>-215.86</v>
      </c>
      <c r="O62" s="69">
        <f>SIN(G62/$J$7)*SIN($D$4/$J$7)+COS(G62/$J$7)*COS($D$4/$J$7)*COS(N62/$J$7)</f>
        <v>-0.6627204892357479</v>
      </c>
      <c r="P62" s="59">
        <f t="shared" si="1"/>
        <v>131.50768428337963</v>
      </c>
      <c r="Q62" s="38"/>
    </row>
    <row r="63" spans="1:17" ht="12" customHeight="1">
      <c r="A63" s="46">
        <f t="shared" si="2"/>
        <v>56</v>
      </c>
      <c r="B63" s="46" t="s">
        <v>145</v>
      </c>
      <c r="C63" s="46" t="s">
        <v>146</v>
      </c>
      <c r="D63" s="61" t="s">
        <v>24</v>
      </c>
      <c r="E63" s="61" t="s">
        <v>32</v>
      </c>
      <c r="F63" s="64">
        <f>-30</f>
        <v>-30</v>
      </c>
      <c r="G63" s="64">
        <f>-1.5</f>
        <v>-1.5</v>
      </c>
      <c r="H63" s="65">
        <f>IF(SIN(J63/$J$7)&gt;0,$J$7*ACOS((SIN(G63/$J$7)-SIN($D$4/$J$7)*K63)/(COS($D$4/$J$7)*SIN(L63/$J$7))),360-($J$7*ACOS((SIN(G63/$J$7)-SIN($D$4/$J$7)*K63)/(COS($D$4/$J$7)*SIN(L63/$J$7)))))</f>
        <v>56.0431842657906</v>
      </c>
      <c r="I63" s="66">
        <f>69.041*$J$7*(ACOS(SIN($D$4/$J$7)*SIN(G63/$J$7)+COS($D$4/$J$7)*COS(G63/$J$7)*COS(J63/$J$7)))</f>
        <v>9126.095763851858</v>
      </c>
      <c r="J63" s="63">
        <f>+$D$3-F63</f>
        <v>142.06</v>
      </c>
      <c r="K63" s="63">
        <f>SIN($D$4/$J$7)*SIN(G63/$J$7)+COS($D$4/$J$7)*COS(G63/$J$7)*COS(J63/$J$7)</f>
        <v>-0.6715099862418741</v>
      </c>
      <c r="L63" s="63">
        <f t="shared" si="0"/>
        <v>132.18371350142462</v>
      </c>
      <c r="M63" s="67">
        <f>IF(SIN(N63/$J$7)&gt;0,$J$7*ACOS((SIN($D$4/$J$7)-SIN(G63/$J$7)*O63)/(COS(G63/$J$7)*SIN(P63/$J$7))),360-($J$7*ACOS((SIN($D$4/$J$7)-SIN(G63/$J$7)*O63)/(COS(G63/$J$7)*SIN(P63/$J$7)))))</f>
        <v>316.2501532206767</v>
      </c>
      <c r="N63" s="68">
        <f>+F63-$D$3</f>
        <v>-142.06</v>
      </c>
      <c r="O63" s="69">
        <f>SIN(G63/$J$7)*SIN($D$4/$J$7)+COS(G63/$J$7)*COS($D$4/$J$7)*COS(N63/$J$7)</f>
        <v>-0.6715099862418741</v>
      </c>
      <c r="P63" s="59">
        <f t="shared" si="1"/>
        <v>132.18371350142462</v>
      </c>
      <c r="Q63" s="38"/>
    </row>
    <row r="64" spans="1:17" ht="12" customHeight="1">
      <c r="A64" s="46">
        <f t="shared" si="2"/>
        <v>57</v>
      </c>
      <c r="B64" s="46" t="s">
        <v>147</v>
      </c>
      <c r="C64" s="46" t="s">
        <v>148</v>
      </c>
      <c r="D64" s="61" t="s">
        <v>118</v>
      </c>
      <c r="E64" s="61" t="s">
        <v>119</v>
      </c>
      <c r="F64" s="64">
        <v>62.5</v>
      </c>
      <c r="G64" s="64">
        <v>11</v>
      </c>
      <c r="H64" s="65">
        <f>IF(SIN(J64/$J$7)&gt;0,$J$7*ACOS((SIN(G64/$J$7)-SIN($D$4/$J$7)*K64)/(COS($D$4/$J$7)*SIN(L64/$J$7))),360-($J$7*ACOS((SIN(G64/$J$7)-SIN($D$4/$J$7)*K64)/(COS($D$4/$J$7)*SIN(L64/$J$7)))))</f>
        <v>104.47594666673258</v>
      </c>
      <c r="I64" s="66">
        <f>69.041*$J$7*(ACOS(SIN($D$4/$J$7)*SIN(G64/$J$7)+COS($D$4/$J$7)*COS(G64/$J$7)*COS(J64/$J$7)))</f>
        <v>3486.4086542698365</v>
      </c>
      <c r="J64" s="63">
        <f>+$D$3-F64</f>
        <v>49.56</v>
      </c>
      <c r="K64" s="63">
        <f>SIN($D$4/$J$7)*SIN(G64/$J$7)+COS($D$4/$J$7)*COS(G64/$J$7)*COS(J64/$J$7)</f>
        <v>0.6361097899644936</v>
      </c>
      <c r="L64" s="63">
        <f t="shared" si="0"/>
        <v>50.49765580263664</v>
      </c>
      <c r="M64" s="67">
        <f>IF(SIN(N64/$J$7)&gt;0,$J$7*ACOS((SIN($D$4/$J$7)-SIN(G64/$J$7)*O64)/(COS(G64/$J$7)*SIN(P64/$J$7))),360-($J$7*ACOS((SIN($D$4/$J$7)-SIN(G64/$J$7)*O64)/(COS(G64/$J$7)*SIN(P64/$J$7)))))</f>
        <v>304.7095792490302</v>
      </c>
      <c r="N64" s="68">
        <f>+F64-$D$3</f>
        <v>-49.56</v>
      </c>
      <c r="O64" s="69">
        <f>SIN(G64/$J$7)*SIN($D$4/$J$7)+COS(G64/$J$7)*COS($D$4/$J$7)*COS(N64/$J$7)</f>
        <v>0.6361097899644936</v>
      </c>
      <c r="P64" s="59">
        <f t="shared" si="1"/>
        <v>50.49765580263664</v>
      </c>
      <c r="Q64" s="38"/>
    </row>
    <row r="65" spans="1:17" ht="12" customHeight="1">
      <c r="A65" s="46">
        <f t="shared" si="2"/>
        <v>58</v>
      </c>
      <c r="B65" s="46" t="s">
        <v>149</v>
      </c>
      <c r="C65" s="46" t="s">
        <v>150</v>
      </c>
      <c r="D65" s="61" t="s">
        <v>24</v>
      </c>
      <c r="E65" s="61" t="s">
        <v>45</v>
      </c>
      <c r="F65" s="64">
        <f>-25</f>
        <v>-25</v>
      </c>
      <c r="G65" s="64">
        <f>-22</f>
        <v>-22</v>
      </c>
      <c r="H65" s="65">
        <f>IF(SIN(J65/$J$7)&gt;0,$J$7*ACOS((SIN(G65/$J$7)-SIN($D$4/$J$7)*K65)/(COS($D$4/$J$7)*SIN(L65/$J$7))),360-($J$7*ACOS((SIN(G65/$J$7)-SIN($D$4/$J$7)*K65)/(COS($D$4/$J$7)*SIN(L65/$J$7)))))</f>
        <v>84.31043644240285</v>
      </c>
      <c r="I65" s="66">
        <f>69.041*$J$7*(ACOS(SIN($D$4/$J$7)*SIN(G65/$J$7)+COS($D$4/$J$7)*COS(G65/$J$7)*COS(J65/$J$7)))</f>
        <v>9707.042093907416</v>
      </c>
      <c r="J65" s="63">
        <f>+$D$3-F65</f>
        <v>137.06</v>
      </c>
      <c r="K65" s="63">
        <f>SIN($D$4/$J$7)*SIN(G65/$J$7)+COS($D$4/$J$7)*COS(G65/$J$7)*COS(J65/$J$7)</f>
        <v>-0.7727139161213052</v>
      </c>
      <c r="L65" s="63">
        <f t="shared" si="0"/>
        <v>140.59822560373425</v>
      </c>
      <c r="M65" s="67">
        <f>IF(SIN(N65/$J$7)&gt;0,$J$7*ACOS((SIN($D$4/$J$7)-SIN(G65/$J$7)*O65)/(COS(G65/$J$7)*SIN(P65/$J$7))),360-($J$7*ACOS((SIN($D$4/$J$7)-SIN(G65/$J$7)*O65)/(COS(G65/$J$7)*SIN(P65/$J$7)))))</f>
        <v>296.56508508994926</v>
      </c>
      <c r="N65" s="68">
        <f>+F65-$D$3</f>
        <v>-137.06</v>
      </c>
      <c r="O65" s="69">
        <f>SIN(G65/$J$7)*SIN($D$4/$J$7)+COS(G65/$J$7)*COS($D$4/$J$7)*COS(N65/$J$7)</f>
        <v>-0.7727139161213052</v>
      </c>
      <c r="P65" s="59">
        <f t="shared" si="1"/>
        <v>140.59822560373425</v>
      </c>
      <c r="Q65" s="38"/>
    </row>
    <row r="66" spans="1:17" ht="12" customHeight="1">
      <c r="A66" s="46">
        <f t="shared" si="2"/>
        <v>59</v>
      </c>
      <c r="B66" s="46" t="s">
        <v>151</v>
      </c>
      <c r="C66" s="46" t="s">
        <v>152</v>
      </c>
      <c r="D66" s="61" t="s">
        <v>37</v>
      </c>
      <c r="E66" s="61" t="s">
        <v>38</v>
      </c>
      <c r="F66" s="64">
        <v>175</v>
      </c>
      <c r="G66" s="64">
        <f>-21</f>
        <v>-21</v>
      </c>
      <c r="H66" s="65">
        <f>IF(SIN(J66/$J$7)&gt;0,$J$7*ACOS((SIN(G66/$J$7)-SIN($D$4/$J$7)*K66)/(COS($D$4/$J$7)*SIN(L66/$J$7))),360-($J$7*ACOS((SIN(G66/$J$7)-SIN($D$4/$J$7)*K66)/(COS($D$4/$J$7)*SIN(L66/$J$7)))))</f>
        <v>237.31716967710932</v>
      </c>
      <c r="I66" s="66">
        <f>69.041*$J$7*(ACOS(SIN($D$4/$J$7)*SIN(G66/$J$7)+COS($D$4/$J$7)*COS(G66/$J$7)*COS(J66/$J$7)))</f>
        <v>5594.47898551881</v>
      </c>
      <c r="J66" s="63">
        <f>+$D$3-F66</f>
        <v>-62.94</v>
      </c>
      <c r="K66" s="63">
        <f>SIN($D$4/$J$7)*SIN(G66/$J$7)+COS($D$4/$J$7)*COS(G66/$J$7)*COS(J66/$J$7)</f>
        <v>0.15589562794301537</v>
      </c>
      <c r="L66" s="63">
        <f t="shared" si="0"/>
        <v>81.03125657969628</v>
      </c>
      <c r="M66" s="67">
        <f>IF(SIN(N66/$J$7)&gt;0,$J$7*ACOS((SIN($D$4/$J$7)-SIN(G66/$J$7)*O66)/(COS(G66/$J$7)*SIN(P66/$J$7))),360-($J$7*ACOS((SIN($D$4/$J$7)-SIN(G66/$J$7)*O66)/(COS(G66/$J$7)*SIN(P66/$J$7)))))</f>
        <v>48.70815796872559</v>
      </c>
      <c r="N66" s="68">
        <f>+F66-$D$3</f>
        <v>62.94</v>
      </c>
      <c r="O66" s="69">
        <f>SIN(G66/$J$7)*SIN($D$4/$J$7)+COS(G66/$J$7)*COS($D$4/$J$7)*COS(N66/$J$7)</f>
        <v>0.15589562794301537</v>
      </c>
      <c r="P66" s="59">
        <f t="shared" si="1"/>
        <v>81.03125657969628</v>
      </c>
      <c r="Q66" s="38"/>
    </row>
    <row r="67" spans="1:17" ht="12" customHeight="1">
      <c r="A67" s="46">
        <f t="shared" si="2"/>
        <v>60</v>
      </c>
      <c r="B67" s="46" t="s">
        <v>153</v>
      </c>
      <c r="C67" s="46" t="s">
        <v>154</v>
      </c>
      <c r="D67" s="61" t="s">
        <v>17</v>
      </c>
      <c r="E67" s="61" t="s">
        <v>60</v>
      </c>
      <c r="F67" s="64">
        <f>-59</f>
        <v>-59</v>
      </c>
      <c r="G67" s="64">
        <v>23.5</v>
      </c>
      <c r="H67" s="65">
        <f>IF(SIN(J67/$J$7)&gt;0,$J$7*ACOS((SIN(G67/$J$7)-SIN($D$4/$J$7)*K67)/(COS($D$4/$J$7)*SIN(L67/$J$7))),360-($J$7*ACOS((SIN(G67/$J$7)-SIN($D$4/$J$7)*K67)/(COS($D$4/$J$7)*SIN(L67/$J$7)))))</f>
        <v>9.708412913157108</v>
      </c>
      <c r="I67" s="66">
        <f>69.041*$J$7*(ACOS(SIN($D$4/$J$7)*SIN(G67/$J$7)+COS($D$4/$J$7)*COS(G67/$J$7)*COS(J67/$J$7)))</f>
        <v>8444.977149136355</v>
      </c>
      <c r="J67" s="63">
        <f>+$D$3-F67</f>
        <v>171.06</v>
      </c>
      <c r="K67" s="63">
        <f>SIN($D$4/$J$7)*SIN(G67/$J$7)+COS($D$4/$J$7)*COS(G67/$J$7)*COS(J67/$J$7)</f>
        <v>-0.53462216631685</v>
      </c>
      <c r="L67" s="63">
        <f t="shared" si="0"/>
        <v>122.31829129265734</v>
      </c>
      <c r="M67" s="67">
        <f>IF(SIN(N67/$J$7)&gt;0,$J$7*ACOS((SIN($D$4/$J$7)-SIN(G67/$J$7)*O67)/(COS(G67/$J$7)*SIN(P67/$J$7))),360-($J$7*ACOS((SIN($D$4/$J$7)-SIN(G67/$J$7)*O67)/(COS(G67/$J$7)*SIN(P67/$J$7)))))</f>
        <v>351.1846294755885</v>
      </c>
      <c r="N67" s="68">
        <f>+F67-$D$3</f>
        <v>-171.06</v>
      </c>
      <c r="O67" s="69">
        <f>SIN(G67/$J$7)*SIN($D$4/$J$7)+COS(G67/$J$7)*COS($D$4/$J$7)*COS(N67/$J$7)</f>
        <v>-0.53462216631685</v>
      </c>
      <c r="P67" s="59">
        <f t="shared" si="1"/>
        <v>122.31829129265734</v>
      </c>
      <c r="Q67" s="38"/>
    </row>
    <row r="68" spans="1:17" ht="12" customHeight="1">
      <c r="A68" s="46">
        <f t="shared" si="2"/>
        <v>61</v>
      </c>
      <c r="B68" s="46" t="s">
        <v>155</v>
      </c>
      <c r="C68" s="46" t="s">
        <v>156</v>
      </c>
      <c r="D68" s="61" t="s">
        <v>17</v>
      </c>
      <c r="E68" s="61" t="s">
        <v>65</v>
      </c>
      <c r="F68" s="64">
        <f>-90</f>
        <v>-90</v>
      </c>
      <c r="G68" s="64">
        <v>28</v>
      </c>
      <c r="H68" s="65">
        <f>IF(SIN(J68/$J$7)&gt;0,$J$7*ACOS((SIN(G68/$J$7)-SIN($D$4/$J$7)*K68)/(COS($D$4/$J$7)*SIN(L68/$J$7))),360-($J$7*ACOS((SIN(G68/$J$7)-SIN($D$4/$J$7)*K68)/(COS($D$4/$J$7)*SIN(L68/$J$7)))))</f>
        <v>338.5383476872003</v>
      </c>
      <c r="I68" s="66">
        <f>69.041*$J$7*(ACOS(SIN($D$4/$J$7)*SIN(G68/$J$7)+COS($D$4/$J$7)*COS(G68/$J$7)*COS(J68/$J$7)))</f>
        <v>7939.289297781734</v>
      </c>
      <c r="J68" s="63">
        <f>+$D$3-F68</f>
        <v>202.06</v>
      </c>
      <c r="K68" s="63">
        <f>SIN($D$4/$J$7)*SIN(G68/$J$7)+COS($D$4/$J$7)*COS(G68/$J$7)*COS(J68/$J$7)</f>
        <v>-0.4225207262181407</v>
      </c>
      <c r="L68" s="63">
        <f t="shared" si="0"/>
        <v>114.99383406644942</v>
      </c>
      <c r="M68" s="67">
        <f>IF(SIN(N68/$J$7)&gt;0,$J$7*ACOS((SIN($D$4/$J$7)-SIN(G68/$J$7)*O68)/(COS(G68/$J$7)*SIN(P68/$J$7))),360-($J$7*ACOS((SIN($D$4/$J$7)-SIN(G68/$J$7)*O68)/(COS(G68/$J$7)*SIN(P68/$J$7)))))</f>
        <v>20.203061169263087</v>
      </c>
      <c r="N68" s="68">
        <f>+F68-$D$3</f>
        <v>-202.06</v>
      </c>
      <c r="O68" s="69">
        <f>SIN(G68/$J$7)*SIN($D$4/$J$7)+COS(G68/$J$7)*COS($D$4/$J$7)*COS(N68/$J$7)</f>
        <v>-0.4225207262181407</v>
      </c>
      <c r="P68" s="59">
        <f t="shared" si="1"/>
        <v>114.99383406644942</v>
      </c>
      <c r="Q68" s="38"/>
    </row>
    <row r="69" spans="1:17" ht="12" customHeight="1">
      <c r="A69" s="46">
        <f t="shared" si="2"/>
        <v>62</v>
      </c>
      <c r="B69" s="46" t="s">
        <v>157</v>
      </c>
      <c r="C69" s="46" t="s">
        <v>158</v>
      </c>
      <c r="D69" s="61" t="s">
        <v>17</v>
      </c>
      <c r="E69" s="61" t="s">
        <v>60</v>
      </c>
      <c r="F69" s="64">
        <f>-55.5</f>
        <v>-55.5</v>
      </c>
      <c r="G69" s="64">
        <v>25.3</v>
      </c>
      <c r="H69" s="65">
        <f>IF(SIN(J69/$J$7)&gt;0,$J$7*ACOS((SIN(G69/$J$7)-SIN($D$4/$J$7)*K69)/(COS($D$4/$J$7)*SIN(L69/$J$7))),360-($J$7*ACOS((SIN(G69/$J$7)-SIN($D$4/$J$7)*K69)/(COS($D$4/$J$7)*SIN(L69/$J$7)))))</f>
        <v>12.992423801946304</v>
      </c>
      <c r="I69" s="66">
        <f>69.041*$J$7*(ACOS(SIN($D$4/$J$7)*SIN(G69/$J$7)+COS($D$4/$J$7)*COS(G69/$J$7)*COS(J69/$J$7)))</f>
        <v>8283.05018552498</v>
      </c>
      <c r="J69" s="63">
        <f>+$D$3-F69</f>
        <v>167.56</v>
      </c>
      <c r="K69" s="63">
        <f>SIN($D$4/$J$7)*SIN(G69/$J$7)+COS($D$4/$J$7)*COS(G69/$J$7)*COS(J69/$J$7)</f>
        <v>-0.49959058977629867</v>
      </c>
      <c r="L69" s="63">
        <f t="shared" si="0"/>
        <v>119.97291733209227</v>
      </c>
      <c r="M69" s="67">
        <f>IF(SIN(N69/$J$7)&gt;0,$J$7*ACOS((SIN($D$4/$J$7)-SIN(G69/$J$7)*O69)/(COS(G69/$J$7)*SIN(P69/$J$7))),360-($J$7*ACOS((SIN($D$4/$J$7)-SIN(G69/$J$7)*O69)/(COS(G69/$J$7)*SIN(P69/$J$7)))))</f>
        <v>348.038977307341</v>
      </c>
      <c r="N69" s="68">
        <f>+F69-$D$3</f>
        <v>-167.56</v>
      </c>
      <c r="O69" s="69">
        <f>SIN(G69/$J$7)*SIN($D$4/$J$7)+COS(G69/$J$7)*COS($D$4/$J$7)*COS(N69/$J$7)</f>
        <v>-0.49959058977629867</v>
      </c>
      <c r="P69" s="59">
        <f t="shared" si="1"/>
        <v>119.97291733209227</v>
      </c>
      <c r="Q69" s="38"/>
    </row>
    <row r="70" spans="1:17" ht="12" customHeight="1">
      <c r="A70" s="46">
        <f t="shared" si="2"/>
        <v>63</v>
      </c>
      <c r="B70" s="46" t="s">
        <v>159</v>
      </c>
      <c r="C70" s="46" t="s">
        <v>160</v>
      </c>
      <c r="D70" s="61" t="s">
        <v>17</v>
      </c>
      <c r="E70" s="61" t="s">
        <v>60</v>
      </c>
      <c r="F70" s="64">
        <f>-51.5</f>
        <v>-51.5</v>
      </c>
      <c r="G70" s="64">
        <v>25.3</v>
      </c>
      <c r="H70" s="65">
        <f>IF(SIN(J70/$J$7)&gt;0,$J$7*ACOS((SIN(G70/$J$7)-SIN($D$4/$J$7)*K70)/(COS($D$4/$J$7)*SIN(L70/$J$7))),360-($J$7*ACOS((SIN(G70/$J$7)-SIN($D$4/$J$7)*K70)/(COS($D$4/$J$7)*SIN(L70/$J$7)))))</f>
        <v>17.02894419879453</v>
      </c>
      <c r="I70" s="66">
        <f>69.041*$J$7*(ACOS(SIN($D$4/$J$7)*SIN(G70/$J$7)+COS($D$4/$J$7)*COS(G70/$J$7)*COS(J70/$J$7)))</f>
        <v>8223.420383911423</v>
      </c>
      <c r="J70" s="63">
        <f>+$D$3-F70</f>
        <v>163.56</v>
      </c>
      <c r="K70" s="63">
        <f>SIN($D$4/$J$7)*SIN(G70/$J$7)+COS($D$4/$J$7)*COS(G70/$J$7)*COS(J70/$J$7)</f>
        <v>-0.48647614131537575</v>
      </c>
      <c r="L70" s="63">
        <f t="shared" si="0"/>
        <v>119.10923051391816</v>
      </c>
      <c r="M70" s="67">
        <f>IF(SIN(N70/$J$7)&gt;0,$J$7*ACOS((SIN($D$4/$J$7)-SIN(G70/$J$7)*O70)/(COS(G70/$J$7)*SIN(P70/$J$7))),360-($J$7*ACOS((SIN($D$4/$J$7)-SIN(G70/$J$7)*O70)/(COS(G70/$J$7)*SIN(P70/$J$7)))))</f>
        <v>344.3381026077109</v>
      </c>
      <c r="N70" s="68">
        <f>+F70-$D$3</f>
        <v>-163.56</v>
      </c>
      <c r="O70" s="69">
        <f>SIN(G70/$J$7)*SIN($D$4/$J$7)+COS(G70/$J$7)*COS($D$4/$J$7)*COS(N70/$J$7)</f>
        <v>-0.48647614131537575</v>
      </c>
      <c r="P70" s="59">
        <f t="shared" si="1"/>
        <v>119.10923051391816</v>
      </c>
      <c r="Q70" s="38"/>
    </row>
    <row r="71" spans="1:17" ht="12" customHeight="1">
      <c r="A71" s="46">
        <f t="shared" si="2"/>
        <v>64</v>
      </c>
      <c r="B71" s="46" t="s">
        <v>161</v>
      </c>
      <c r="C71" s="46" t="s">
        <v>162</v>
      </c>
      <c r="D71" s="61" t="s">
        <v>17</v>
      </c>
      <c r="E71" s="61" t="s">
        <v>60</v>
      </c>
      <c r="F71" s="64">
        <f>-50.5</f>
        <v>-50.5</v>
      </c>
      <c r="G71" s="64">
        <v>26</v>
      </c>
      <c r="H71" s="65">
        <f>IF(SIN(J71/$J$7)&gt;0,$J$7*ACOS((SIN(G71/$J$7)-SIN($D$4/$J$7)*K71)/(COS($D$4/$J$7)*SIN(L71/$J$7))),360-($J$7*ACOS((SIN(G71/$J$7)-SIN($D$4/$J$7)*K71)/(COS($D$4/$J$7)*SIN(L71/$J$7)))))</f>
        <v>17.795361069984775</v>
      </c>
      <c r="I71" s="66">
        <f>69.041*$J$7*(ACOS(SIN($D$4/$J$7)*SIN(G71/$J$7)+COS($D$4/$J$7)*COS(G71/$J$7)*COS(J71/$J$7)))</f>
        <v>8159.758734086393</v>
      </c>
      <c r="J71" s="63">
        <f>+$D$3-F71</f>
        <v>162.56</v>
      </c>
      <c r="K71" s="63">
        <f>SIN($D$4/$J$7)*SIN(G71/$J$7)+COS($D$4/$J$7)*COS(G71/$J$7)*COS(J71/$J$7)</f>
        <v>-0.47235303441473425</v>
      </c>
      <c r="L71" s="63">
        <f t="shared" si="0"/>
        <v>118.1871458131602</v>
      </c>
      <c r="M71" s="67">
        <f>IF(SIN(N71/$J$7)&gt;0,$J$7*ACOS((SIN($D$4/$J$7)-SIN(G71/$J$7)*O71)/(COS(G71/$J$7)*SIN(P71/$J$7))),360-($J$7*ACOS((SIN($D$4/$J$7)-SIN(G71/$J$7)*O71)/(COS(G71/$J$7)*SIN(P71/$J$7)))))</f>
        <v>343.53775357980453</v>
      </c>
      <c r="N71" s="68">
        <f>+F71-$D$3</f>
        <v>-162.56</v>
      </c>
      <c r="O71" s="69">
        <f>SIN(G71/$J$7)*SIN($D$4/$J$7)+COS(G71/$J$7)*COS($D$4/$J$7)*COS(N71/$J$7)</f>
        <v>-0.47235303441473425</v>
      </c>
      <c r="P71" s="59">
        <f t="shared" si="1"/>
        <v>118.1871458131602</v>
      </c>
      <c r="Q71" s="38"/>
    </row>
    <row r="72" spans="1:17" ht="12" customHeight="1">
      <c r="A72" s="46">
        <f t="shared" si="2"/>
        <v>65</v>
      </c>
      <c r="B72" s="46" t="s">
        <v>163</v>
      </c>
      <c r="C72" s="46" t="s">
        <v>164</v>
      </c>
      <c r="D72" s="61" t="s">
        <v>17</v>
      </c>
      <c r="E72" s="61" t="s">
        <v>60</v>
      </c>
      <c r="F72" s="64">
        <f>-67</f>
        <v>-67</v>
      </c>
      <c r="G72" s="64">
        <v>25</v>
      </c>
      <c r="H72" s="65">
        <f>IF(SIN(J72/$J$7)&gt;0,$J$7*ACOS((SIN(G72/$J$7)-SIN($D$4/$J$7)*K72)/(COS($D$4/$J$7)*SIN(L72/$J$7))),360-($J$7*ACOS((SIN(G72/$J$7)-SIN($D$4/$J$7)*K72)/(COS($D$4/$J$7)*SIN(L72/$J$7)))))</f>
        <v>0.9985656404009986</v>
      </c>
      <c r="I72" s="66">
        <f>69.041*$J$7*(ACOS(SIN($D$4/$J$7)*SIN(G72/$J$7)+COS($D$4/$J$7)*COS(G72/$J$7)*COS(J72/$J$7)))</f>
        <v>8384.558127692713</v>
      </c>
      <c r="J72" s="63">
        <f>+$D$3-F72</f>
        <v>179.06</v>
      </c>
      <c r="K72" s="63">
        <f>SIN($D$4/$J$7)*SIN(G72/$J$7)+COS($D$4/$J$7)*COS(G72/$J$7)*COS(J72/$J$7)</f>
        <v>-0.5216526482265109</v>
      </c>
      <c r="L72" s="63">
        <f t="shared" si="0"/>
        <v>121.44317329836927</v>
      </c>
      <c r="M72" s="67">
        <f>IF(SIN(N72/$J$7)&gt;0,$J$7*ACOS((SIN($D$4/$J$7)-SIN(G72/$J$7)*O72)/(COS(G72/$J$7)*SIN(P72/$J$7))),360-($J$7*ACOS((SIN($D$4/$J$7)-SIN(G72/$J$7)*O72)/(COS(G72/$J$7)*SIN(P72/$J$7)))))</f>
        <v>359.08176675309403</v>
      </c>
      <c r="N72" s="68">
        <f>+F72-$D$3</f>
        <v>-179.06</v>
      </c>
      <c r="O72" s="69">
        <f>SIN(G72/$J$7)*SIN($D$4/$J$7)+COS(G72/$J$7)*COS($D$4/$J$7)*COS(N72/$J$7)</f>
        <v>-0.5216526482265109</v>
      </c>
      <c r="P72" s="59">
        <f t="shared" si="1"/>
        <v>121.44317329836927</v>
      </c>
      <c r="Q72" s="38"/>
    </row>
    <row r="73" spans="1:17" ht="12" customHeight="1">
      <c r="A73" s="46">
        <f t="shared" si="2"/>
        <v>66</v>
      </c>
      <c r="B73" s="46" t="s">
        <v>165</v>
      </c>
      <c r="C73" s="46" t="s">
        <v>166</v>
      </c>
      <c r="D73" s="61" t="s">
        <v>17</v>
      </c>
      <c r="E73" s="61">
        <v>27</v>
      </c>
      <c r="F73" s="64">
        <f>-117</f>
        <v>-117</v>
      </c>
      <c r="G73" s="64">
        <v>15.1</v>
      </c>
      <c r="H73" s="65">
        <f>IF(SIN(J73/$J$7)&gt;0,$J$7*ACOS((SIN(G73/$J$7)-SIN($D$4/$J$7)*K73)/(COS($D$4/$J$7)*SIN(L73/$J$7))),360-($J$7*ACOS((SIN(G73/$J$7)-SIN($D$4/$J$7)*K73)/(COS($D$4/$J$7)*SIN(L73/$J$7)))))</f>
        <v>307.85053201331164</v>
      </c>
      <c r="I73" s="66">
        <f>69.041*$J$7*(ACOS(SIN($D$4/$J$7)*SIN(G73/$J$7)+COS($D$4/$J$7)*COS(G73/$J$7)*COS(J73/$J$7)))</f>
        <v>7769.650291008814</v>
      </c>
      <c r="J73" s="63">
        <f>+$D$3-F73</f>
        <v>229.06</v>
      </c>
      <c r="K73" s="63">
        <f>SIN($D$4/$J$7)*SIN(G73/$J$7)+COS($D$4/$J$7)*COS(G73/$J$7)*COS(J73/$J$7)</f>
        <v>-0.3832760625353969</v>
      </c>
      <c r="L73" s="63">
        <f aca="true" t="shared" si="3" ref="L73:L138">+$J$7*ACOS(K73)</f>
        <v>112.53675773828326</v>
      </c>
      <c r="M73" s="67">
        <f>IF(SIN(N73/$J$7)&gt;0,$J$7*ACOS((SIN($D$4/$J$7)-SIN(G73/$J$7)*O73)/(COS(G73/$J$7)*SIN(P73/$J$7))),360-($J$7*ACOS((SIN($D$4/$J$7)-SIN(G73/$J$7)*O73)/(COS(G73/$J$7)*SIN(P73/$J$7)))))</f>
        <v>42.96890725360951</v>
      </c>
      <c r="N73" s="68">
        <f>+F73-$D$3</f>
        <v>-229.06</v>
      </c>
      <c r="O73" s="69">
        <f>SIN(G73/$J$7)*SIN($D$4/$J$7)+COS(G73/$J$7)*COS($D$4/$J$7)*COS(N73/$J$7)</f>
        <v>-0.3832760625353969</v>
      </c>
      <c r="P73" s="59">
        <f t="shared" si="1"/>
        <v>112.53675773828326</v>
      </c>
      <c r="Q73" s="38"/>
    </row>
    <row r="74" spans="1:17" ht="12" customHeight="1">
      <c r="A74" s="46">
        <f t="shared" si="2"/>
        <v>67</v>
      </c>
      <c r="B74" s="46" t="s">
        <v>167</v>
      </c>
      <c r="C74" s="46" t="s">
        <v>168</v>
      </c>
      <c r="D74" s="61" t="s">
        <v>17</v>
      </c>
      <c r="E74" s="61" t="s">
        <v>169</v>
      </c>
      <c r="F74" s="64">
        <f>-122</f>
        <v>-122</v>
      </c>
      <c r="G74" s="64">
        <v>25</v>
      </c>
      <c r="H74" s="65">
        <f>IF(SIN(J74/$J$7)&gt;0,$J$7*ACOS((SIN(G74/$J$7)-SIN($D$4/$J$7)*K74)/(COS($D$4/$J$7)*SIN(L74/$J$7))),360-($J$7*ACOS((SIN(G74/$J$7)-SIN($D$4/$J$7)*K74)/(COS($D$4/$J$7)*SIN(L74/$J$7)))))</f>
        <v>311.36874879194465</v>
      </c>
      <c r="I74" s="66">
        <f>69.041*$J$7*(ACOS(SIN($D$4/$J$7)*SIN(G74/$J$7)+COS($D$4/$J$7)*COS(G74/$J$7)*COS(J74/$J$7)))</f>
        <v>7049.658063441918</v>
      </c>
      <c r="J74" s="63">
        <f>+$D$3-F74</f>
        <v>234.06</v>
      </c>
      <c r="K74" s="63">
        <f>SIN($D$4/$J$7)*SIN(G74/$J$7)+COS($D$4/$J$7)*COS(G74/$J$7)*COS(J74/$J$7)</f>
        <v>-0.2097599384905191</v>
      </c>
      <c r="L74" s="63">
        <f t="shared" si="3"/>
        <v>102.10828440262914</v>
      </c>
      <c r="M74" s="67">
        <f>IF(SIN(N74/$J$7)&gt;0,$J$7*ACOS((SIN($D$4/$J$7)-SIN(G74/$J$7)*O74)/(COS(G74/$J$7)*SIN(P74/$J$7))),360-($J$7*ACOS((SIN($D$4/$J$7)-SIN(G74/$J$7)*O74)/(COS(G74/$J$7)*SIN(P74/$J$7)))))</f>
        <v>43.638284463202886</v>
      </c>
      <c r="N74" s="68">
        <f>+F74-$D$3</f>
        <v>-234.06</v>
      </c>
      <c r="O74" s="69">
        <f>SIN(G74/$J$7)*SIN($D$4/$J$7)+COS(G74/$J$7)*COS($D$4/$J$7)*COS(N74/$J$7)</f>
        <v>-0.2097599384905191</v>
      </c>
      <c r="P74" s="59">
        <f t="shared" si="1"/>
        <v>102.10828440262914</v>
      </c>
      <c r="Q74" s="38"/>
    </row>
    <row r="75" spans="1:17" ht="12" customHeight="1">
      <c r="A75" s="46">
        <f aca="true" t="shared" si="4" ref="A75:A138">1+A74</f>
        <v>68</v>
      </c>
      <c r="B75" s="46" t="s">
        <v>170</v>
      </c>
      <c r="C75" s="46" t="s">
        <v>171</v>
      </c>
      <c r="D75" s="61" t="s">
        <v>17</v>
      </c>
      <c r="E75" s="61">
        <v>24</v>
      </c>
      <c r="F75" s="64">
        <f>-116.4</f>
        <v>-116.4</v>
      </c>
      <c r="G75" s="64">
        <v>20.4</v>
      </c>
      <c r="H75" s="65">
        <f>IF(SIN(J75/$J$7)&gt;0,$J$7*ACOS((SIN(G75/$J$7)-SIN($D$4/$J$7)*K75)/(COS($D$4/$J$7)*SIN(L75/$J$7))),360-($J$7*ACOS((SIN(G75/$J$7)-SIN($D$4/$J$7)*K75)/(COS($D$4/$J$7)*SIN(L75/$J$7)))))</f>
        <v>312.1050686944632</v>
      </c>
      <c r="I75" s="66">
        <f>69.041*$J$7*(ACOS(SIN($D$4/$J$7)*SIN(G75/$J$7)+COS($D$4/$J$7)*COS(G75/$J$7)*COS(J75/$J$7)))</f>
        <v>7524.599192222061</v>
      </c>
      <c r="J75" s="63">
        <f>+$D$3-F75</f>
        <v>228.46</v>
      </c>
      <c r="K75" s="63">
        <f>SIN($D$4/$J$7)*SIN(G75/$J$7)+COS($D$4/$J$7)*COS(G75/$J$7)*COS(J75/$J$7)</f>
        <v>-0.32536024220463833</v>
      </c>
      <c r="L75" s="63">
        <f t="shared" si="3"/>
        <v>108.98740157619474</v>
      </c>
      <c r="M75" s="67">
        <f>IF(SIN(N75/$J$7)&gt;0,$J$7*ACOS((SIN($D$4/$J$7)-SIN(G75/$J$7)*O75)/(COS(G75/$J$7)*SIN(P75/$J$7))),360-($J$7*ACOS((SIN($D$4/$J$7)-SIN(G75/$J$7)*O75)/(COS(G75/$J$7)*SIN(P75/$J$7)))))</f>
        <v>41.27627820257904</v>
      </c>
      <c r="N75" s="68">
        <f>+F75-$D$3</f>
        <v>-228.46</v>
      </c>
      <c r="O75" s="69">
        <f>SIN(G75/$J$7)*SIN($D$4/$J$7)+COS(G75/$J$7)*COS($D$4/$J$7)*COS(N75/$J$7)</f>
        <v>-0.32536024220463833</v>
      </c>
      <c r="P75" s="59">
        <f aca="true" t="shared" si="5" ref="P75:P140">$J$7*ACOS(O75)</f>
        <v>108.98740157619474</v>
      </c>
      <c r="Q75" s="38"/>
    </row>
    <row r="76" spans="1:17" ht="12" customHeight="1">
      <c r="A76" s="46">
        <f t="shared" si="4"/>
        <v>69</v>
      </c>
      <c r="B76" s="46" t="s">
        <v>172</v>
      </c>
      <c r="C76" s="46" t="s">
        <v>173</v>
      </c>
      <c r="D76" s="61" t="s">
        <v>17</v>
      </c>
      <c r="E76" s="61" t="s">
        <v>174</v>
      </c>
      <c r="F76" s="64">
        <f>-116.4</f>
        <v>-116.4</v>
      </c>
      <c r="G76" s="64">
        <v>35</v>
      </c>
      <c r="H76" s="65">
        <f>IF(SIN(J76/$J$7)&gt;0,$J$7*ACOS((SIN(G76/$J$7)-SIN($D$4/$J$7)*K76)/(COS($D$4/$J$7)*SIN(L76/$J$7))),360-($J$7*ACOS((SIN(G76/$J$7)-SIN($D$4/$J$7)*K76)/(COS($D$4/$J$7)*SIN(L76/$J$7)))))</f>
        <v>321.7673718380026</v>
      </c>
      <c r="I76" s="66">
        <f>69.041*$J$7*(ACOS(SIN($D$4/$J$7)*SIN(G76/$J$7)+COS($D$4/$J$7)*COS(G76/$J$7)*COS(J76/$J$7)))</f>
        <v>6752.2352125791085</v>
      </c>
      <c r="J76" s="63">
        <f>+$D$3-F76</f>
        <v>228.46</v>
      </c>
      <c r="K76" s="63">
        <f>SIN($D$4/$J$7)*SIN(G76/$J$7)+COS($D$4/$J$7)*COS(G76/$J$7)*COS(J76/$J$7)</f>
        <v>-0.1357219371935583</v>
      </c>
      <c r="L76" s="63">
        <f t="shared" si="3"/>
        <v>97.80036807953402</v>
      </c>
      <c r="M76" s="67">
        <f>IF(SIN(N76/$J$7)&gt;0,$J$7*ACOS((SIN($D$4/$J$7)-SIN(G76/$J$7)*O76)/(COS(G76/$J$7)*SIN(P76/$J$7))),360-($J$7*ACOS((SIN($D$4/$J$7)-SIN(G76/$J$7)*O76)/(COS(G76/$J$7)*SIN(P76/$J$7)))))</f>
        <v>39.022300250880264</v>
      </c>
      <c r="N76" s="68">
        <f>+F76-$D$3</f>
        <v>-228.46</v>
      </c>
      <c r="O76" s="69">
        <f>SIN(G76/$J$7)*SIN($D$4/$J$7)+COS(G76/$J$7)*COS($D$4/$J$7)*COS(N76/$J$7)</f>
        <v>-0.1357219371935583</v>
      </c>
      <c r="P76" s="59">
        <f t="shared" si="5"/>
        <v>97.80036807953402</v>
      </c>
      <c r="Q76" s="38"/>
    </row>
    <row r="77" spans="1:17" ht="12" customHeight="1">
      <c r="A77" s="46">
        <f t="shared" si="4"/>
        <v>70</v>
      </c>
      <c r="B77" s="46" t="s">
        <v>175</v>
      </c>
      <c r="C77" s="46" t="s">
        <v>176</v>
      </c>
      <c r="D77" s="61" t="s">
        <v>37</v>
      </c>
      <c r="E77" s="61" t="s">
        <v>177</v>
      </c>
      <c r="F77" s="64">
        <f>-166.9</f>
        <v>-166.9</v>
      </c>
      <c r="G77" s="64">
        <f>-0.5</f>
        <v>-0.5</v>
      </c>
      <c r="H77" s="65">
        <f>IF(SIN(J77/$J$7)&gt;0,$J$7*ACOS((SIN(G77/$J$7)-SIN($D$4/$J$7)*K77)/(COS($D$4/$J$7)*SIN(L77/$J$7))),360-($J$7*ACOS((SIN(G77/$J$7)-SIN($D$4/$J$7)*K77)/(COS($D$4/$J$7)*SIN(L77/$J$7)))))</f>
        <v>264.60153290203203</v>
      </c>
      <c r="I77" s="66">
        <f>69.041*$J$7*(ACOS(SIN($D$4/$J$7)*SIN(G77/$J$7)+COS($D$4/$J$7)*COS(G77/$J$7)*COS(J77/$J$7)))</f>
        <v>5718.040648175409</v>
      </c>
      <c r="J77" s="63">
        <f>+$D$3-F77</f>
        <v>278.96000000000004</v>
      </c>
      <c r="K77" s="63">
        <f>SIN($D$4/$J$7)*SIN(G77/$J$7)+COS($D$4/$J$7)*COS(G77/$J$7)*COS(J77/$J$7)</f>
        <v>0.12497060259768952</v>
      </c>
      <c r="L77" s="63">
        <f t="shared" si="3"/>
        <v>82.82094187765833</v>
      </c>
      <c r="M77" s="67">
        <f>IF(SIN(N77/$J$7)&gt;0,$J$7*ACOS((SIN($D$4/$J$7)-SIN(G77/$J$7)*O77)/(COS(G77/$J$7)*SIN(P77/$J$7))),360-($J$7*ACOS((SIN($D$4/$J$7)-SIN(G77/$J$7)*O77)/(COS(G77/$J$7)*SIN(P77/$J$7)))))</f>
        <v>56.07192245434101</v>
      </c>
      <c r="N77" s="68">
        <f>+F77-$D$3</f>
        <v>-278.96000000000004</v>
      </c>
      <c r="O77" s="69">
        <f>SIN(G77/$J$7)*SIN($D$4/$J$7)+COS(G77/$J$7)*COS($D$4/$J$7)*COS(N77/$J$7)</f>
        <v>0.12497060259768952</v>
      </c>
      <c r="P77" s="59">
        <f t="shared" si="5"/>
        <v>82.82094187765833</v>
      </c>
      <c r="Q77" s="38"/>
    </row>
    <row r="78" spans="1:17" ht="12" customHeight="1">
      <c r="A78" s="46">
        <f t="shared" si="4"/>
        <v>71</v>
      </c>
      <c r="B78" s="46" t="s">
        <v>178</v>
      </c>
      <c r="C78" s="46" t="s">
        <v>179</v>
      </c>
      <c r="D78" s="61" t="s">
        <v>13</v>
      </c>
      <c r="E78" s="61" t="s">
        <v>21</v>
      </c>
      <c r="F78" s="64">
        <f>-1.5</f>
        <v>-1.5</v>
      </c>
      <c r="G78" s="64">
        <v>42.5</v>
      </c>
      <c r="H78" s="65">
        <f>IF(SIN(J78/$J$7)&gt;0,$J$7*ACOS((SIN(G78/$J$7)-SIN($D$4/$J$7)*K78)/(COS($D$4/$J$7)*SIN(L78/$J$7))),360-($J$7*ACOS((SIN(G78/$J$7)-SIN($D$4/$J$7)*K78)/(COS($D$4/$J$7)*SIN(L78/$J$7)))))</f>
        <v>42.95350055384662</v>
      </c>
      <c r="I78" s="66">
        <f>69.041*$J$7*(ACOS(SIN($D$4/$J$7)*SIN(G78/$J$7)+COS($D$4/$J$7)*COS(G78/$J$7)*COS(J78/$J$7)))</f>
        <v>5706.863502462565</v>
      </c>
      <c r="J78" s="63">
        <f>+$D$3-F78</f>
        <v>113.56</v>
      </c>
      <c r="K78" s="63">
        <f>SIN($D$4/$J$7)*SIN(G78/$J$7)+COS($D$4/$J$7)*COS(G78/$J$7)*COS(J78/$J$7)</f>
        <v>0.12777348739882383</v>
      </c>
      <c r="L78" s="63">
        <f t="shared" si="3"/>
        <v>82.65905045498421</v>
      </c>
      <c r="M78" s="67">
        <f>IF(SIN(N78/$J$7)&gt;0,$J$7*ACOS((SIN($D$4/$J$7)-SIN(G78/$J$7)*O78)/(COS(G78/$J$7)*SIN(P78/$J$7))),360-($J$7*ACOS((SIN($D$4/$J$7)-SIN(G78/$J$7)*O78)/(COS(G78/$J$7)*SIN(P78/$J$7)))))</f>
        <v>309.6239800951168</v>
      </c>
      <c r="N78" s="68">
        <f>+F78-$D$3</f>
        <v>-113.56</v>
      </c>
      <c r="O78" s="69">
        <f>SIN(G78/$J$7)*SIN($D$4/$J$7)+COS(G78/$J$7)*COS($D$4/$J$7)*COS(N78/$J$7)</f>
        <v>0.12777348739882383</v>
      </c>
      <c r="P78" s="59">
        <f t="shared" si="5"/>
        <v>82.65905045498421</v>
      </c>
      <c r="Q78" s="38"/>
    </row>
    <row r="79" spans="1:17" ht="12" customHeight="1">
      <c r="A79" s="46">
        <f t="shared" si="4"/>
        <v>72</v>
      </c>
      <c r="B79" s="46" t="s">
        <v>180</v>
      </c>
      <c r="C79" s="46" t="s">
        <v>181</v>
      </c>
      <c r="D79" s="61" t="s">
        <v>24</v>
      </c>
      <c r="E79" s="61" t="s">
        <v>51</v>
      </c>
      <c r="F79" s="64">
        <v>17</v>
      </c>
      <c r="G79" s="64">
        <v>13</v>
      </c>
      <c r="H79" s="65">
        <f>IF(SIN(J79/$J$7)&gt;0,$J$7*ACOS((SIN(G79/$J$7)-SIN($D$4/$J$7)*K79)/(COS($D$4/$J$7)*SIN(L79/$J$7))),360-($J$7*ACOS((SIN(G79/$J$7)-SIN($D$4/$J$7)*K79)/(COS($D$4/$J$7)*SIN(L79/$J$7)))))</f>
        <v>76.39086081404871</v>
      </c>
      <c r="I79" s="66">
        <f>69.041*$J$7*(ACOS(SIN($D$4/$J$7)*SIN(G79/$J$7)+COS($D$4/$J$7)*COS(G79/$J$7)*COS(J79/$J$7)))</f>
        <v>6005.120645468302</v>
      </c>
      <c r="J79" s="63">
        <f>+$D$3-F79</f>
        <v>95.06</v>
      </c>
      <c r="K79" s="63">
        <f>SIN($D$4/$J$7)*SIN(G79/$J$7)+COS($D$4/$J$7)*COS(G79/$J$7)*COS(J79/$J$7)</f>
        <v>0.052701084371107265</v>
      </c>
      <c r="L79" s="63">
        <f t="shared" si="3"/>
        <v>86.9790507882027</v>
      </c>
      <c r="M79" s="67">
        <f>IF(SIN(N79/$J$7)&gt;0,$J$7*ACOS((SIN($D$4/$J$7)-SIN(G79/$J$7)*O79)/(COS(G79/$J$7)*SIN(P79/$J$7))),360-($J$7*ACOS((SIN($D$4/$J$7)-SIN(G79/$J$7)*O79)/(COS(G79/$J$7)*SIN(P79/$J$7)))))</f>
        <v>303.76633120925703</v>
      </c>
      <c r="N79" s="68">
        <f>+F79-$D$3</f>
        <v>-95.06</v>
      </c>
      <c r="O79" s="69">
        <f>SIN(G79/$J$7)*SIN($D$4/$J$7)+COS(G79/$J$7)*COS($D$4/$J$7)*COS(N79/$J$7)</f>
        <v>0.052701084371107265</v>
      </c>
      <c r="P79" s="59">
        <f t="shared" si="5"/>
        <v>86.9790507882027</v>
      </c>
      <c r="Q79" s="38"/>
    </row>
    <row r="80" spans="1:17" ht="12" customHeight="1">
      <c r="A80" s="46">
        <f t="shared" si="4"/>
        <v>73</v>
      </c>
      <c r="B80" s="46" t="s">
        <v>182</v>
      </c>
      <c r="C80" s="46" t="s">
        <v>183</v>
      </c>
      <c r="D80" s="61" t="s">
        <v>70</v>
      </c>
      <c r="E80" s="61" t="s">
        <v>105</v>
      </c>
      <c r="F80" s="64">
        <v>77.5</v>
      </c>
      <c r="G80" s="64">
        <v>25</v>
      </c>
      <c r="H80" s="65">
        <f>IF(SIN(J80/$J$7)&gt;0,$J$7*ACOS((SIN(G80/$J$7)-SIN($D$4/$J$7)*K80)/(COS($D$4/$J$7)*SIN(L80/$J$7))),360-($J$7*ACOS((SIN(G80/$J$7)-SIN($D$4/$J$7)*K80)/(COS($D$4/$J$7)*SIN(L80/$J$7)))))</f>
        <v>96.68762886899248</v>
      </c>
      <c r="I80" s="66">
        <f>69.041*$J$7*(ACOS(SIN($D$4/$J$7)*SIN(G80/$J$7)+COS($D$4/$J$7)*COS(G80/$J$7)*COS(J80/$J$7)))</f>
        <v>2152.3007559381726</v>
      </c>
      <c r="J80" s="63">
        <f>+$D$3-F80</f>
        <v>34.56</v>
      </c>
      <c r="K80" s="63">
        <f>SIN($D$4/$J$7)*SIN(G80/$J$7)+COS($D$4/$J$7)*COS(G80/$J$7)*COS(J80/$J$7)</f>
        <v>0.8555970701783528</v>
      </c>
      <c r="L80" s="63">
        <f t="shared" si="3"/>
        <v>31.174240754597598</v>
      </c>
      <c r="M80" s="67">
        <f>IF(SIN(N80/$J$7)&gt;0,$J$7*ACOS((SIN($D$4/$J$7)-SIN(G80/$J$7)*O80)/(COS(G80/$J$7)*SIN(P80/$J$7))),360-($J$7*ACOS((SIN($D$4/$J$7)-SIN(G80/$J$7)*O80)/(COS(G80/$J$7)*SIN(P80/$J$7)))))</f>
        <v>294.03419415090445</v>
      </c>
      <c r="N80" s="68">
        <f>+F80-$D$3</f>
        <v>-34.56</v>
      </c>
      <c r="O80" s="69">
        <f>SIN(G80/$J$7)*SIN($D$4/$J$7)+COS(G80/$J$7)*COS($D$4/$J$7)*COS(N80/$J$7)</f>
        <v>0.8555970701783528</v>
      </c>
      <c r="P80" s="59">
        <f t="shared" si="5"/>
        <v>31.174240754597598</v>
      </c>
      <c r="Q80" s="38"/>
    </row>
    <row r="81" spans="1:17" ht="12" customHeight="1">
      <c r="A81" s="46">
        <f t="shared" si="4"/>
        <v>74</v>
      </c>
      <c r="B81" s="46" t="s">
        <v>184</v>
      </c>
      <c r="C81" s="46" t="s">
        <v>185</v>
      </c>
      <c r="D81" s="61" t="s">
        <v>24</v>
      </c>
      <c r="E81" s="61" t="s">
        <v>84</v>
      </c>
      <c r="F81" s="64">
        <f>-36</f>
        <v>-36</v>
      </c>
      <c r="G81" s="64">
        <f>-20</f>
        <v>-20</v>
      </c>
      <c r="H81" s="65">
        <f>IF(SIN(J81/$J$7)&gt;0,$J$7*ACOS((SIN(G81/$J$7)-SIN($D$4/$J$7)*K81)/(COS($D$4/$J$7)*SIN(L81/$J$7))),360-($J$7*ACOS((SIN(G81/$J$7)-SIN($D$4/$J$7)*K81)/(COS($D$4/$J$7)*SIN(L81/$J$7)))))</f>
        <v>72.61281508952048</v>
      </c>
      <c r="I81" s="66">
        <f>69.041*$J$7*(ACOS(SIN($D$4/$J$7)*SIN(G81/$J$7)+COS($D$4/$J$7)*COS(G81/$J$7)*COS(J81/$J$7)))</f>
        <v>10259.865581878523</v>
      </c>
      <c r="J81" s="63">
        <f>+$D$3-F81</f>
        <v>148.06</v>
      </c>
      <c r="K81" s="63">
        <f>SIN($D$4/$J$7)*SIN(G81/$J$7)+COS($D$4/$J$7)*COS(G81/$J$7)*COS(J81/$J$7)</f>
        <v>-0.8535999186185446</v>
      </c>
      <c r="L81" s="63">
        <f t="shared" si="3"/>
        <v>148.60540232439456</v>
      </c>
      <c r="M81" s="67">
        <f>IF(SIN(N81/$J$7)&gt;0,$J$7*ACOS((SIN($D$4/$J$7)-SIN(G81/$J$7)*O81)/(COS(G81/$J$7)*SIN(P81/$J$7))),360-($J$7*ACOS((SIN($D$4/$J$7)-SIN(G81/$J$7)*O81)/(COS(G81/$J$7)*SIN(P81/$J$7)))))</f>
        <v>302.1814804887096</v>
      </c>
      <c r="N81" s="68">
        <f>+F81-$D$3</f>
        <v>-148.06</v>
      </c>
      <c r="O81" s="69">
        <f>SIN(G81/$J$7)*SIN($D$4/$J$7)+COS(G81/$J$7)*COS($D$4/$J$7)*COS(N81/$J$7)</f>
        <v>-0.8535999186185446</v>
      </c>
      <c r="P81" s="59">
        <f t="shared" si="5"/>
        <v>148.60540232439456</v>
      </c>
      <c r="Q81" s="38"/>
    </row>
    <row r="82" spans="1:17" ht="12" customHeight="1">
      <c r="A82" s="46">
        <f t="shared" si="4"/>
        <v>75</v>
      </c>
      <c r="B82" s="46" t="s">
        <v>186</v>
      </c>
      <c r="C82" s="46" t="s">
        <v>187</v>
      </c>
      <c r="D82" s="61" t="s">
        <v>118</v>
      </c>
      <c r="E82" s="61" t="s">
        <v>57</v>
      </c>
      <c r="F82" s="64">
        <v>70.8</v>
      </c>
      <c r="G82" s="64">
        <f>-33</f>
        <v>-33</v>
      </c>
      <c r="H82" s="65">
        <f>IF(SIN(J82/$J$7)&gt;0,$J$7*ACOS((SIN(G82/$J$7)-SIN($D$4/$J$7)*K82)/(COS($D$4/$J$7)*SIN(L82/$J$7))),360-($J$7*ACOS((SIN(G82/$J$7)-SIN($D$4/$J$7)*K82)/(COS($D$4/$J$7)*SIN(L82/$J$7)))))</f>
        <v>145.41971130738006</v>
      </c>
      <c r="I82" s="66">
        <f>69.041*$J$7*(ACOS(SIN($D$4/$J$7)*SIN(G82/$J$7)+COS($D$4/$J$7)*COS(G82/$J$7)*COS(J82/$J$7)))</f>
        <v>5318.327840772916</v>
      </c>
      <c r="J82" s="63">
        <f>+$D$3-F82</f>
        <v>41.260000000000005</v>
      </c>
      <c r="K82" s="63">
        <f>SIN($D$4/$J$7)*SIN(G82/$J$7)+COS($D$4/$J$7)*COS(G82/$J$7)*COS(J82/$J$7)</f>
        <v>0.22441630570697635</v>
      </c>
      <c r="L82" s="63">
        <f t="shared" si="3"/>
        <v>77.03144277708776</v>
      </c>
      <c r="M82" s="67">
        <f>IF(SIN(N82/$J$7)&gt;0,$J$7*ACOS((SIN($D$4/$J$7)-SIN(G82/$J$7)*O82)/(COS(G82/$J$7)*SIN(P82/$J$7))),360-($J$7*ACOS((SIN($D$4/$J$7)-SIN(G82/$J$7)*O82)/(COS(G82/$J$7)*SIN(P82/$J$7)))))</f>
        <v>325.6673756874648</v>
      </c>
      <c r="N82" s="68">
        <f>+F82-$D$3</f>
        <v>-41.260000000000005</v>
      </c>
      <c r="O82" s="69">
        <f>SIN(G82/$J$7)*SIN($D$4/$J$7)+COS(G82/$J$7)*COS($D$4/$J$7)*COS(N82/$J$7)</f>
        <v>0.22441630570697635</v>
      </c>
      <c r="P82" s="59">
        <f t="shared" si="5"/>
        <v>77.03144277708776</v>
      </c>
      <c r="Q82" s="38"/>
    </row>
    <row r="83" spans="1:17" ht="12" customHeight="1">
      <c r="A83" s="46">
        <f t="shared" si="4"/>
        <v>76</v>
      </c>
      <c r="B83" s="46" t="s">
        <v>188</v>
      </c>
      <c r="C83" s="46" t="s">
        <v>189</v>
      </c>
      <c r="D83" s="61" t="s">
        <v>118</v>
      </c>
      <c r="E83" s="61" t="s">
        <v>57</v>
      </c>
      <c r="F83" s="64">
        <v>109</v>
      </c>
      <c r="G83" s="64">
        <f>-28</f>
        <v>-28</v>
      </c>
      <c r="H83" s="65">
        <f>IF(SIN(J83/$J$7)&gt;0,$J$7*ACOS((SIN(G83/$J$7)-SIN($D$4/$J$7)*K83)/(COS($D$4/$J$7)*SIN(L83/$J$7))),360-($J$7*ACOS((SIN(G83/$J$7)-SIN($D$4/$J$7)*K83)/(COS($D$4/$J$7)*SIN(L83/$J$7)))))</f>
        <v>176.9290449589383</v>
      </c>
      <c r="I83" s="66">
        <f>69.041*$J$7*(ACOS(SIN($D$4/$J$7)*SIN(G83/$J$7)+COS($D$4/$J$7)*COS(G83/$J$7)*COS(J83/$J$7)))</f>
        <v>4254.192443755214</v>
      </c>
      <c r="J83" s="63">
        <f>+$D$3-F83</f>
        <v>3.0600000000000023</v>
      </c>
      <c r="K83" s="63">
        <f>SIN($D$4/$J$7)*SIN(G83/$J$7)+COS($D$4/$J$7)*COS(G83/$J$7)*COS(J83/$J$7)</f>
        <v>0.4753424744976405</v>
      </c>
      <c r="L83" s="63">
        <f t="shared" si="3"/>
        <v>61.61834915130451</v>
      </c>
      <c r="M83" s="67">
        <f>IF(SIN(N83/$J$7)&gt;0,$J$7*ACOS((SIN($D$4/$J$7)-SIN(G83/$J$7)*O83)/(COS(G83/$J$7)*SIN(P83/$J$7))),360-($J$7*ACOS((SIN($D$4/$J$7)-SIN(G83/$J$7)*O83)/(COS(G83/$J$7)*SIN(P83/$J$7)))))</f>
        <v>357.1015131867909</v>
      </c>
      <c r="N83" s="68">
        <f>+F83-$D$3</f>
        <v>-3.0600000000000023</v>
      </c>
      <c r="O83" s="69">
        <f>SIN(G83/$J$7)*SIN($D$4/$J$7)+COS(G83/$J$7)*COS($D$4/$J$7)*COS(N83/$J$7)</f>
        <v>0.4753424744976405</v>
      </c>
      <c r="P83" s="59">
        <f t="shared" si="5"/>
        <v>61.61834915130451</v>
      </c>
      <c r="Q83" s="38"/>
    </row>
    <row r="84" spans="1:17" ht="12" customHeight="1">
      <c r="A84" s="46">
        <f t="shared" si="4"/>
        <v>77</v>
      </c>
      <c r="B84" s="46" t="s">
        <v>190</v>
      </c>
      <c r="C84" s="46" t="s">
        <v>191</v>
      </c>
      <c r="D84" s="61" t="s">
        <v>118</v>
      </c>
      <c r="E84" s="61" t="s">
        <v>57</v>
      </c>
      <c r="F84" s="64">
        <v>80</v>
      </c>
      <c r="G84" s="64">
        <f>-26</f>
        <v>-26</v>
      </c>
      <c r="H84" s="65">
        <f>IF(SIN(J84/$J$7)&gt;0,$J$7*ACOS((SIN(G84/$J$7)-SIN($D$4/$J$7)*K84)/(COS($D$4/$J$7)*SIN(L84/$J$7))),360-($J$7*ACOS((SIN(G84/$J$7)-SIN($D$4/$J$7)*K84)/(COS($D$4/$J$7)*SIN(L84/$J$7)))))</f>
        <v>148.7533225544447</v>
      </c>
      <c r="I84" s="66">
        <f>69.041*$J$7*(ACOS(SIN($D$4/$J$7)*SIN(G84/$J$7)+COS($D$4/$J$7)*COS(G84/$J$7)*COS(J84/$J$7)))</f>
        <v>4617.929998782092</v>
      </c>
      <c r="J84" s="63">
        <f>+$D$3-F84</f>
        <v>32.06</v>
      </c>
      <c r="K84" s="63">
        <f>SIN($D$4/$J$7)*SIN(G84/$J$7)+COS($D$4/$J$7)*COS(G84/$J$7)*COS(J84/$J$7)</f>
        <v>0.3925493805610208</v>
      </c>
      <c r="L84" s="63">
        <f t="shared" si="3"/>
        <v>66.88677740447115</v>
      </c>
      <c r="M84" s="67">
        <f>IF(SIN(N84/$J$7)&gt;0,$J$7*ACOS((SIN($D$4/$J$7)-SIN(G84/$J$7)*O84)/(COS(G84/$J$7)*SIN(P84/$J$7))),360-($J$7*ACOS((SIN($D$4/$J$7)-SIN(G84/$J$7)*O84)/(COS(G84/$J$7)*SIN(P84/$J$7)))))</f>
        <v>331.25025662241444</v>
      </c>
      <c r="N84" s="68">
        <f>+F84-$D$3</f>
        <v>-32.06</v>
      </c>
      <c r="O84" s="69">
        <f>SIN(G84/$J$7)*SIN($D$4/$J$7)+COS(G84/$J$7)*COS($D$4/$J$7)*COS(N84/$J$7)</f>
        <v>0.3925493805610208</v>
      </c>
      <c r="P84" s="59">
        <f t="shared" si="5"/>
        <v>66.88677740447115</v>
      </c>
      <c r="Q84" s="38"/>
    </row>
    <row r="85" spans="1:17" ht="12" customHeight="1">
      <c r="A85" s="46">
        <f t="shared" si="4"/>
        <v>78</v>
      </c>
      <c r="B85" s="46" t="s">
        <v>192</v>
      </c>
      <c r="C85" s="46" t="s">
        <v>193</v>
      </c>
      <c r="D85" s="61" t="s">
        <v>118</v>
      </c>
      <c r="E85" s="61" t="s">
        <v>57</v>
      </c>
      <c r="F85" s="64">
        <v>78.8</v>
      </c>
      <c r="G85" s="64">
        <f>-33</f>
        <v>-33</v>
      </c>
      <c r="H85" s="65">
        <f>IF(SIN(J85/$J$7)&gt;0,$J$7*ACOS((SIN(G85/$J$7)-SIN($D$4/$J$7)*K85)/(COS($D$4/$J$7)*SIN(L85/$J$7))),360-($J$7*ACOS((SIN(G85/$J$7)-SIN($D$4/$J$7)*K85)/(COS($D$4/$J$7)*SIN(L85/$J$7)))))</f>
        <v>151.33866610663964</v>
      </c>
      <c r="I85" s="66">
        <f>69.041*$J$7*(ACOS(SIN($D$4/$J$7)*SIN(G85/$J$7)+COS($D$4/$J$7)*COS(G85/$J$7)*COS(J85/$J$7)))</f>
        <v>5076.830304817682</v>
      </c>
      <c r="J85" s="63">
        <f>+$D$3-F85</f>
        <v>33.260000000000005</v>
      </c>
      <c r="K85" s="63">
        <f>SIN($D$4/$J$7)*SIN(G85/$J$7)+COS($D$4/$J$7)*COS(G85/$J$7)*COS(J85/$J$7)</f>
        <v>0.2834537353250156</v>
      </c>
      <c r="L85" s="63">
        <f t="shared" si="3"/>
        <v>73.53355694178362</v>
      </c>
      <c r="M85" s="67">
        <f>IF(SIN(N85/$J$7)&gt;0,$J$7*ACOS((SIN($D$4/$J$7)-SIN(G85/$J$7)*O85)/(COS(G85/$J$7)*SIN(P85/$J$7))),360-($J$7*ACOS((SIN($D$4/$J$7)-SIN(G85/$J$7)*O85)/(COS(G85/$J$7)*SIN(P85/$J$7)))))</f>
        <v>331.535156235362</v>
      </c>
      <c r="N85" s="68">
        <f>+F85-$D$3</f>
        <v>-33.260000000000005</v>
      </c>
      <c r="O85" s="69">
        <f>SIN(G85/$J$7)*SIN($D$4/$J$7)+COS(G85/$J$7)*COS($D$4/$J$7)*COS(N85/$J$7)</f>
        <v>0.2834537353250156</v>
      </c>
      <c r="P85" s="59">
        <f t="shared" si="5"/>
        <v>73.53355694178362</v>
      </c>
      <c r="Q85" s="38"/>
    </row>
    <row r="86" spans="1:17" ht="12" customHeight="1">
      <c r="A86" s="46">
        <f t="shared" si="4"/>
        <v>79</v>
      </c>
      <c r="B86" s="46" t="s">
        <v>194</v>
      </c>
      <c r="C86" s="46" t="s">
        <v>195</v>
      </c>
      <c r="D86" s="61" t="s">
        <v>56</v>
      </c>
      <c r="E86" s="61" t="s">
        <v>196</v>
      </c>
      <c r="F86" s="64">
        <v>120</v>
      </c>
      <c r="G86" s="64">
        <f>-80</f>
        <v>-80</v>
      </c>
      <c r="H86" s="65">
        <f>IF(SIN(J86/$J$7)&gt;0,$J$7*ACOS((SIN(G86/$J$7)-SIN($D$4/$J$7)*K86)/(COS($D$4/$J$7)*SIN(L86/$J$7))),360-($J$7*ACOS((SIN(G86/$J$7)-SIN($D$4/$J$7)*K86)/(COS($D$4/$J$7)*SIN(L86/$J$7)))))</f>
        <v>181.5003887408107</v>
      </c>
      <c r="I86" s="66">
        <f>69.041*$J$7*(ACOS(SIN($D$4/$J$7)*SIN(G86/$J$7)+COS($D$4/$J$7)*COS(G86/$J$7)*COS(J86/$J$7)))</f>
        <v>7845.594307440841</v>
      </c>
      <c r="J86" s="63">
        <f>+$D$3-F86</f>
        <v>-7.939999999999998</v>
      </c>
      <c r="K86" s="63">
        <f>SIN($D$4/$J$7)*SIN(G86/$J$7)+COS($D$4/$J$7)*COS(G86/$J$7)*COS(J86/$J$7)</f>
        <v>-0.4009365857943772</v>
      </c>
      <c r="L86" s="63">
        <f t="shared" si="3"/>
        <v>113.63674204372533</v>
      </c>
      <c r="M86" s="67">
        <f>IF(SIN(N86/$J$7)&gt;0,$J$7*ACOS((SIN($D$4/$J$7)-SIN(G86/$J$7)*O86)/(COS(G86/$J$7)*SIN(P86/$J$7))),360-($J$7*ACOS((SIN($D$4/$J$7)-SIN(G86/$J$7)*O86)/(COS(G86/$J$7)*SIN(P86/$J$7)))))</f>
        <v>7.219201466897631</v>
      </c>
      <c r="N86" s="68">
        <f>+F86-$D$3</f>
        <v>7.939999999999998</v>
      </c>
      <c r="O86" s="69">
        <f>SIN(G86/$J$7)*SIN($D$4/$J$7)+COS(G86/$J$7)*COS($D$4/$J$7)*COS(N86/$J$7)</f>
        <v>-0.4009365857943772</v>
      </c>
      <c r="P86" s="59">
        <f t="shared" si="5"/>
        <v>113.63674204372533</v>
      </c>
      <c r="Q86" s="38"/>
    </row>
    <row r="87" spans="1:17" ht="12" customHeight="1">
      <c r="A87" s="46">
        <f t="shared" si="4"/>
        <v>80</v>
      </c>
      <c r="B87" s="46" t="s">
        <v>197</v>
      </c>
      <c r="C87" s="46" t="s">
        <v>198</v>
      </c>
      <c r="D87" s="61" t="s">
        <v>24</v>
      </c>
      <c r="E87" s="61" t="s">
        <v>48</v>
      </c>
      <c r="F87" s="64">
        <v>8</v>
      </c>
      <c r="G87" s="64">
        <v>33</v>
      </c>
      <c r="H87" s="65">
        <f>IF(SIN(J87/$J$7)&gt;0,$J$7*ACOS((SIN(G87/$J$7)-SIN($D$4/$J$7)*K87)/(COS($D$4/$J$7)*SIN(L87/$J$7))),360-($J$7*ACOS((SIN(G87/$J$7)-SIN($D$4/$J$7)*K87)/(COS($D$4/$J$7)*SIN(L87/$J$7)))))</f>
        <v>55.1488439594599</v>
      </c>
      <c r="I87" s="66">
        <f>69.041*$J$7*(ACOS(SIN($D$4/$J$7)*SIN(G87/$J$7)+COS($D$4/$J$7)*COS(G87/$J$7)*COS(J87/$J$7)))</f>
        <v>5693.190272354885</v>
      </c>
      <c r="J87" s="63">
        <f>+$D$3-F87</f>
        <v>104.06</v>
      </c>
      <c r="K87" s="63">
        <f>SIN($D$4/$J$7)*SIN(G87/$J$7)+COS($D$4/$J$7)*COS(G87/$J$7)*COS(J87/$J$7)</f>
        <v>0.13120092397461972</v>
      </c>
      <c r="L87" s="63">
        <f t="shared" si="3"/>
        <v>82.46100537875878</v>
      </c>
      <c r="M87" s="67">
        <f>IF(SIN(N87/$J$7)&gt;0,$J$7*ACOS((SIN($D$4/$J$7)-SIN(G87/$J$7)*O87)/(COS(G87/$J$7)*SIN(P87/$J$7))),360-($J$7*ACOS((SIN($D$4/$J$7)-SIN(G87/$J$7)*O87)/(COS(G87/$J$7)*SIN(P87/$J$7)))))</f>
        <v>305.36457105549994</v>
      </c>
      <c r="N87" s="68">
        <f>+F87-$D$3</f>
        <v>-104.06</v>
      </c>
      <c r="O87" s="69">
        <f>SIN(G87/$J$7)*SIN($D$4/$J$7)+COS(G87/$J$7)*COS($D$4/$J$7)*COS(N87/$J$7)</f>
        <v>0.13120092397461972</v>
      </c>
      <c r="P87" s="59">
        <f t="shared" si="5"/>
        <v>82.46100537875878</v>
      </c>
      <c r="Q87" s="38"/>
    </row>
    <row r="88" spans="1:17" ht="12" customHeight="1">
      <c r="A88" s="46">
        <f t="shared" si="4"/>
        <v>81</v>
      </c>
      <c r="B88" s="46" t="s">
        <v>199</v>
      </c>
      <c r="C88" s="46" t="s">
        <v>200</v>
      </c>
      <c r="D88" s="61" t="s">
        <v>70</v>
      </c>
      <c r="E88" s="61" t="s">
        <v>105</v>
      </c>
      <c r="F88" s="64">
        <v>82.4</v>
      </c>
      <c r="G88" s="64">
        <v>23.1</v>
      </c>
      <c r="H88" s="65">
        <f>IF(SIN(J88/$J$7)&gt;0,$J$7*ACOS((SIN(G88/$J$7)-SIN($D$4/$J$7)*K88)/(COS($D$4/$J$7)*SIN(L88/$J$7))),360-($J$7*ACOS((SIN(G88/$J$7)-SIN($D$4/$J$7)*K88)/(COS($D$4/$J$7)*SIN(L88/$J$7)))))</f>
        <v>104.15201544736011</v>
      </c>
      <c r="I88" s="66">
        <f>69.041*$J$7*(ACOS(SIN($D$4/$J$7)*SIN(G88/$J$7)+COS($D$4/$J$7)*COS(G88/$J$7)*COS(J88/$J$7)))</f>
        <v>1932.9276692248475</v>
      </c>
      <c r="J88" s="63">
        <f>+$D$3-F88</f>
        <v>29.659999999999997</v>
      </c>
      <c r="K88" s="63">
        <f>SIN($D$4/$J$7)*SIN(G88/$J$7)+COS($D$4/$J$7)*COS(G88/$J$7)*COS(J88/$J$7)</f>
        <v>0.8829737404689985</v>
      </c>
      <c r="L88" s="63">
        <f t="shared" si="3"/>
        <v>27.996808696641818</v>
      </c>
      <c r="M88" s="67">
        <f>IF(SIN(N88/$J$7)&gt;0,$J$7*ACOS((SIN($D$4/$J$7)-SIN(G88/$J$7)*O88)/(COS(G88/$J$7)*SIN(P88/$J$7))),360-($J$7*ACOS((SIN($D$4/$J$7)-SIN(G88/$J$7)*O88)/(COS(G88/$J$7)*SIN(P88/$J$7)))))</f>
        <v>298.5318955774274</v>
      </c>
      <c r="N88" s="68">
        <f>+F88-$D$3</f>
        <v>-29.659999999999997</v>
      </c>
      <c r="O88" s="69">
        <f>SIN(G88/$J$7)*SIN($D$4/$J$7)+COS(G88/$J$7)*COS($D$4/$J$7)*COS(N88/$J$7)</f>
        <v>0.8829737404689985</v>
      </c>
      <c r="P88" s="59">
        <f t="shared" si="5"/>
        <v>27.996808696641818</v>
      </c>
      <c r="Q88" s="38"/>
    </row>
    <row r="89" spans="1:17" ht="12" customHeight="1">
      <c r="A89" s="46">
        <f t="shared" si="4"/>
        <v>82</v>
      </c>
      <c r="B89" s="46" t="s">
        <v>201</v>
      </c>
      <c r="C89" s="46" t="s">
        <v>202</v>
      </c>
      <c r="D89" s="61" t="s">
        <v>118</v>
      </c>
      <c r="E89" s="61" t="s">
        <v>203</v>
      </c>
      <c r="F89" s="64">
        <v>68.4</v>
      </c>
      <c r="G89" s="64">
        <f>-16</f>
        <v>-16</v>
      </c>
      <c r="H89" s="65">
        <f>IF(SIN(J89/$J$7)&gt;0,$J$7*ACOS((SIN(G89/$J$7)-SIN($D$4/$J$7)*K89)/(COS($D$4/$J$7)*SIN(L89/$J$7))),360-($J$7*ACOS((SIN(G89/$J$7)-SIN($D$4/$J$7)*K89)/(COS($D$4/$J$7)*SIN(L89/$J$7)))))</f>
        <v>132.7777794249197</v>
      </c>
      <c r="I89" s="66">
        <f>69.041*$J$7*(ACOS(SIN($D$4/$J$7)*SIN(G89/$J$7)+COS($D$4/$J$7)*COS(G89/$J$7)*COS(J89/$J$7)))</f>
        <v>4467.494007836829</v>
      </c>
      <c r="J89" s="63">
        <f>+$D$3-F89</f>
        <v>43.66</v>
      </c>
      <c r="K89" s="63">
        <f>SIN($D$4/$J$7)*SIN(G89/$J$7)+COS($D$4/$J$7)*COS(G89/$J$7)*COS(J89/$J$7)</f>
        <v>0.42723414429055884</v>
      </c>
      <c r="L89" s="63">
        <f t="shared" si="3"/>
        <v>64.70784038233556</v>
      </c>
      <c r="M89" s="67">
        <f>IF(SIN(N89/$J$7)&gt;0,$J$7*ACOS((SIN($D$4/$J$7)-SIN(G89/$J$7)*O89)/(COS(G89/$J$7)*SIN(P89/$J$7))),360-($J$7*ACOS((SIN($D$4/$J$7)-SIN(G89/$J$7)*O89)/(COS(G89/$J$7)*SIN(P89/$J$7)))))</f>
        <v>320.4787369875461</v>
      </c>
      <c r="N89" s="68">
        <f>+F89-$D$3</f>
        <v>-43.66</v>
      </c>
      <c r="O89" s="69">
        <f>SIN(G89/$J$7)*SIN($D$4/$J$7)+COS(G89/$J$7)*COS($D$4/$J$7)*COS(N89/$J$7)</f>
        <v>0.42723414429055884</v>
      </c>
      <c r="P89" s="59">
        <f t="shared" si="5"/>
        <v>64.70784038233556</v>
      </c>
      <c r="Q89" s="38"/>
    </row>
    <row r="90" spans="1:17" ht="12" customHeight="1">
      <c r="A90" s="46">
        <f t="shared" si="4"/>
        <v>83</v>
      </c>
      <c r="B90" s="46" t="s">
        <v>204</v>
      </c>
      <c r="C90" s="46" t="s">
        <v>205</v>
      </c>
      <c r="D90" s="61" t="s">
        <v>13</v>
      </c>
      <c r="E90" s="61" t="s">
        <v>21</v>
      </c>
      <c r="F90" s="64">
        <v>9.2</v>
      </c>
      <c r="G90" s="64">
        <v>38.7</v>
      </c>
      <c r="H90" s="65">
        <f>IF(SIN(J90/$J$7)&gt;0,$J$7*ACOS((SIN(G90/$J$7)-SIN($D$4/$J$7)*K90)/(COS($D$4/$J$7)*SIN(L90/$J$7))),360-($J$7*ACOS((SIN(G90/$J$7)-SIN($D$4/$J$7)*K90)/(COS($D$4/$J$7)*SIN(L90/$J$7)))))</f>
        <v>50.956843834685635</v>
      </c>
      <c r="I90" s="66">
        <f>69.041*$J$7*(ACOS(SIN($D$4/$J$7)*SIN(G90/$J$7)+COS($D$4/$J$7)*COS(G90/$J$7)*COS(J90/$J$7)))</f>
        <v>5413.98868658557</v>
      </c>
      <c r="J90" s="63">
        <f>+$D$3-F90</f>
        <v>102.86</v>
      </c>
      <c r="K90" s="63">
        <f>SIN($D$4/$J$7)*SIN(G90/$J$7)+COS($D$4/$J$7)*COS(G90/$J$7)*COS(J90/$J$7)</f>
        <v>0.20078712046234917</v>
      </c>
      <c r="L90" s="63">
        <f t="shared" si="3"/>
        <v>78.41700853964413</v>
      </c>
      <c r="M90" s="67">
        <f>IF(SIN(N90/$J$7)&gt;0,$J$7*ACOS((SIN($D$4/$J$7)-SIN(G90/$J$7)*O90)/(COS(G90/$J$7)*SIN(P90/$J$7))),360-($J$7*ACOS((SIN($D$4/$J$7)-SIN(G90/$J$7)*O90)/(COS(G90/$J$7)*SIN(P90/$J$7)))))</f>
        <v>303.9638688752397</v>
      </c>
      <c r="N90" s="68">
        <f>+F90-$D$3</f>
        <v>-102.86</v>
      </c>
      <c r="O90" s="69">
        <f>SIN(G90/$J$7)*SIN($D$4/$J$7)+COS(G90/$J$7)*COS($D$4/$J$7)*COS(N90/$J$7)</f>
        <v>0.20078712046234917</v>
      </c>
      <c r="P90" s="59">
        <f t="shared" si="5"/>
        <v>78.41700853964413</v>
      </c>
      <c r="Q90" s="38"/>
    </row>
    <row r="91" spans="1:17" ht="12" customHeight="1">
      <c r="A91" s="46">
        <f t="shared" si="4"/>
        <v>84</v>
      </c>
      <c r="B91" s="46" t="s">
        <v>206</v>
      </c>
      <c r="C91" s="46" t="s">
        <v>207</v>
      </c>
      <c r="D91" s="61" t="s">
        <v>24</v>
      </c>
      <c r="E91" s="61" t="s">
        <v>21</v>
      </c>
      <c r="F91" s="64">
        <v>17</v>
      </c>
      <c r="G91" s="64">
        <v>33</v>
      </c>
      <c r="H91" s="65">
        <f>IF(SIN(J91/$J$7)&gt;0,$J$7*ACOS((SIN(G91/$J$7)-SIN($D$4/$J$7)*K91)/(COS($D$4/$J$7)*SIN(L91/$J$7))),360-($J$7*ACOS((SIN(G91/$J$7)-SIN($D$4/$J$7)*K91)/(COS($D$4/$J$7)*SIN(L91/$J$7)))))</f>
        <v>59.36295651163414</v>
      </c>
      <c r="I91" s="66">
        <f>69.041*$J$7*(ACOS(SIN($D$4/$J$7)*SIN(G91/$J$7)+COS($D$4/$J$7)*COS(G91/$J$7)*COS(J91/$J$7)))</f>
        <v>5257.573730001246</v>
      </c>
      <c r="J91" s="63">
        <f>+$D$3-F91</f>
        <v>95.06</v>
      </c>
      <c r="K91" s="63">
        <f>SIN($D$4/$J$7)*SIN(G91/$J$7)+COS($D$4/$J$7)*COS(G91/$J$7)*COS(J91/$J$7)</f>
        <v>0.23935590867309742</v>
      </c>
      <c r="L91" s="63">
        <f t="shared" si="3"/>
        <v>76.15147129968058</v>
      </c>
      <c r="M91" s="67">
        <f>IF(SIN(N91/$J$7)&gt;0,$J$7*ACOS((SIN($D$4/$J$7)-SIN(G91/$J$7)*O91)/(COS(G91/$J$7)*SIN(P91/$J$7))),360-($J$7*ACOS((SIN($D$4/$J$7)-SIN(G91/$J$7)*O91)/(COS(G91/$J$7)*SIN(P91/$J$7)))))</f>
        <v>301.2392179416084</v>
      </c>
      <c r="N91" s="68">
        <f>+F91-$D$3</f>
        <v>-95.06</v>
      </c>
      <c r="O91" s="69">
        <f>SIN(G91/$J$7)*SIN($D$4/$J$7)+COS(G91/$J$7)*COS($D$4/$J$7)*COS(N91/$J$7)</f>
        <v>0.23935590867309742</v>
      </c>
      <c r="P91" s="59">
        <f t="shared" si="5"/>
        <v>76.15147129968058</v>
      </c>
      <c r="Q91" s="38"/>
    </row>
    <row r="92" spans="1:17" ht="12" customHeight="1">
      <c r="A92" s="46">
        <f t="shared" si="4"/>
        <v>85</v>
      </c>
      <c r="B92" s="46" t="s">
        <v>208</v>
      </c>
      <c r="C92" s="46" t="s">
        <v>209</v>
      </c>
      <c r="D92" s="61" t="s">
        <v>13</v>
      </c>
      <c r="E92" s="61" t="s">
        <v>21</v>
      </c>
      <c r="F92" s="64">
        <v>25</v>
      </c>
      <c r="G92" s="64">
        <v>38</v>
      </c>
      <c r="H92" s="65">
        <f>IF(SIN(J92/$J$7)&gt;0,$J$7*ACOS((SIN(G92/$J$7)-SIN($D$4/$J$7)*K92)/(COS($D$4/$J$7)*SIN(L92/$J$7))),360-($J$7*ACOS((SIN(G92/$J$7)-SIN($D$4/$J$7)*K92)/(COS($D$4/$J$7)*SIN(L92/$J$7)))))</f>
        <v>58.052294561821164</v>
      </c>
      <c r="I92" s="66">
        <f>69.041*$J$7*(ACOS(SIN($D$4/$J$7)*SIN(G92/$J$7)+COS($D$4/$J$7)*COS(G92/$J$7)*COS(J92/$J$7)))</f>
        <v>4697.639748594269</v>
      </c>
      <c r="J92" s="63">
        <f>+$D$3-F92</f>
        <v>87.06</v>
      </c>
      <c r="K92" s="63">
        <f>SIN($D$4/$J$7)*SIN(G92/$J$7)+COS($D$4/$J$7)*COS(G92/$J$7)*COS(J92/$J$7)</f>
        <v>0.3739380792774258</v>
      </c>
      <c r="L92" s="63">
        <f t="shared" si="3"/>
        <v>68.04130514613446</v>
      </c>
      <c r="M92" s="67">
        <f>IF(SIN(N92/$J$7)&gt;0,$J$7*ACOS((SIN($D$4/$J$7)-SIN(G92/$J$7)*O92)/(COS(G92/$J$7)*SIN(P92/$J$7))),360-($J$7*ACOS((SIN($D$4/$J$7)-SIN(G92/$J$7)*O92)/(COS(G92/$J$7)*SIN(P92/$J$7)))))</f>
        <v>296.1802150444178</v>
      </c>
      <c r="N92" s="68">
        <f>+F92-$D$3</f>
        <v>-87.06</v>
      </c>
      <c r="O92" s="69">
        <f>SIN(G92/$J$7)*SIN($D$4/$J$7)+COS(G92/$J$7)*COS($D$4/$J$7)*COS(N92/$J$7)</f>
        <v>0.3739380792774258</v>
      </c>
      <c r="P92" s="59">
        <f t="shared" si="5"/>
        <v>68.04130514613446</v>
      </c>
      <c r="Q92" s="38"/>
    </row>
    <row r="93" spans="1:17" ht="12" customHeight="1">
      <c r="A93" s="46">
        <f t="shared" si="4"/>
        <v>86</v>
      </c>
      <c r="B93" s="46" t="s">
        <v>210</v>
      </c>
      <c r="C93" s="46" t="s">
        <v>211</v>
      </c>
      <c r="D93" s="61" t="s">
        <v>118</v>
      </c>
      <c r="E93" s="61" t="s">
        <v>212</v>
      </c>
      <c r="F93" s="64">
        <v>56.2</v>
      </c>
      <c r="G93" s="64">
        <f>-34</f>
        <v>-34</v>
      </c>
      <c r="H93" s="65">
        <f>IF(SIN(J93/$J$7)&gt;0,$J$7*ACOS((SIN(G93/$J$7)-SIN($D$4/$J$7)*K93)/(COS($D$4/$J$7)*SIN(L93/$J$7))),360-($J$7*ACOS((SIN(G93/$J$7)-SIN($D$4/$J$7)*K93)/(COS($D$4/$J$7)*SIN(L93/$J$7)))))</f>
        <v>136.50399513000474</v>
      </c>
      <c r="I93" s="66">
        <f>69.041*$J$7*(ACOS(SIN($D$4/$J$7)*SIN(G93/$J$7)+COS($D$4/$J$7)*COS(G93/$J$7)*COS(J93/$J$7)))</f>
        <v>5902.003138469928</v>
      </c>
      <c r="J93" s="63">
        <f>+$D$3-F93</f>
        <v>55.86</v>
      </c>
      <c r="K93" s="63">
        <f>SIN($D$4/$J$7)*SIN(G93/$J$7)+COS($D$4/$J$7)*COS(G93/$J$7)*COS(J93/$J$7)</f>
        <v>0.0787117051218541</v>
      </c>
      <c r="L93" s="63">
        <f t="shared" si="3"/>
        <v>85.48548164815006</v>
      </c>
      <c r="M93" s="67">
        <f>IF(SIN(N93/$J$7)&gt;0,$J$7*ACOS((SIN($D$4/$J$7)-SIN(G93/$J$7)*O93)/(COS(G93/$J$7)*SIN(P93/$J$7))),360-($J$7*ACOS((SIN($D$4/$J$7)-SIN(G93/$J$7)*O93)/(COS(G93/$J$7)*SIN(P93/$J$7)))))</f>
        <v>316.2169936900258</v>
      </c>
      <c r="N93" s="68">
        <f>+F93-$D$3</f>
        <v>-55.86</v>
      </c>
      <c r="O93" s="69">
        <f>SIN(G93/$J$7)*SIN($D$4/$J$7)+COS(G93/$J$7)*COS($D$4/$J$7)*COS(N93/$J$7)</f>
        <v>0.0787117051218541</v>
      </c>
      <c r="P93" s="59">
        <f t="shared" si="5"/>
        <v>85.48548164815006</v>
      </c>
      <c r="Q93" s="38"/>
    </row>
    <row r="94" spans="1:17" ht="12" customHeight="1">
      <c r="A94" s="46">
        <f t="shared" si="4"/>
        <v>87</v>
      </c>
      <c r="B94" s="46" t="s">
        <v>213</v>
      </c>
      <c r="C94" s="46" t="s">
        <v>214</v>
      </c>
      <c r="D94" s="61" t="s">
        <v>70</v>
      </c>
      <c r="E94" s="61" t="s">
        <v>71</v>
      </c>
      <c r="F94" s="64">
        <v>60</v>
      </c>
      <c r="G94" s="64">
        <v>43.8</v>
      </c>
      <c r="H94" s="65">
        <f>IF(SIN(J94/$J$7)&gt;0,$J$7*ACOS((SIN(G94/$J$7)-SIN($D$4/$J$7)*K94)/(COS($D$4/$J$7)*SIN(L94/$J$7))),360-($J$7*ACOS((SIN(G94/$J$7)-SIN($D$4/$J$7)*K94)/(COS($D$4/$J$7)*SIN(L94/$J$7)))))</f>
        <v>59.778331371016634</v>
      </c>
      <c r="I94" s="66">
        <f>69.041*$J$7*(ACOS(SIN($D$4/$J$7)*SIN(G94/$J$7)+COS($D$4/$J$7)*COS(G94/$J$7)*COS(J94/$J$7)))</f>
        <v>2844.832900263241</v>
      </c>
      <c r="J94" s="63">
        <f>+$D$3-F94</f>
        <v>52.06</v>
      </c>
      <c r="K94" s="63">
        <f>SIN($D$4/$J$7)*SIN(G94/$J$7)+COS($D$4/$J$7)*COS(G94/$J$7)*COS(J94/$J$7)</f>
        <v>0.7523576751164833</v>
      </c>
      <c r="L94" s="63">
        <f t="shared" si="3"/>
        <v>41.204978205171436</v>
      </c>
      <c r="M94" s="67">
        <f>IF(SIN(N94/$J$7)&gt;0,$J$7*ACOS((SIN($D$4/$J$7)-SIN(G94/$J$7)*O94)/(COS(G94/$J$7)*SIN(P94/$J$7))),360-($J$7*ACOS((SIN($D$4/$J$7)-SIN(G94/$J$7)*O94)/(COS(G94/$J$7)*SIN(P94/$J$7)))))</f>
        <v>273.8500559267931</v>
      </c>
      <c r="N94" s="68">
        <f>+F94-$D$3</f>
        <v>-52.06</v>
      </c>
      <c r="O94" s="69">
        <f>SIN(G94/$J$7)*SIN($D$4/$J$7)+COS(G94/$J$7)*COS($D$4/$J$7)*COS(N94/$J$7)</f>
        <v>0.7523576751164833</v>
      </c>
      <c r="P94" s="59">
        <f t="shared" si="5"/>
        <v>41.204978205171436</v>
      </c>
      <c r="Q94" s="38"/>
    </row>
    <row r="95" spans="1:17" ht="12" customHeight="1">
      <c r="A95" s="46">
        <f t="shared" si="4"/>
        <v>88</v>
      </c>
      <c r="B95" s="46" t="s">
        <v>215</v>
      </c>
      <c r="C95" s="46" t="s">
        <v>216</v>
      </c>
      <c r="D95" s="61" t="s">
        <v>70</v>
      </c>
      <c r="E95" s="61" t="s">
        <v>71</v>
      </c>
      <c r="F95" s="64">
        <v>60.1</v>
      </c>
      <c r="G95" s="64">
        <v>47.2</v>
      </c>
      <c r="H95" s="65">
        <f>IF(SIN(J95/$J$7)&gt;0,$J$7*ACOS((SIN(G95/$J$7)-SIN($D$4/$J$7)*K95)/(COS($D$4/$J$7)*SIN(L95/$J$7))),360-($J$7*ACOS((SIN(G95/$J$7)-SIN($D$4/$J$7)*K95)/(COS($D$4/$J$7)*SIN(L95/$J$7)))))</f>
        <v>54.6129758074532</v>
      </c>
      <c r="I95" s="66">
        <f>69.041*$J$7*(ACOS(SIN($D$4/$J$7)*SIN(G95/$J$7)+COS($D$4/$J$7)*COS(G95/$J$7)*COS(J95/$J$7)))</f>
        <v>2832.332862829923</v>
      </c>
      <c r="J95" s="63">
        <f>+$D$3-F95</f>
        <v>51.96</v>
      </c>
      <c r="K95" s="63">
        <f>SIN($D$4/$J$7)*SIN(G95/$J$7)+COS($D$4/$J$7)*COS(G95/$J$7)*COS(J95/$J$7)</f>
        <v>0.7544355544070267</v>
      </c>
      <c r="L95" s="63">
        <f t="shared" si="3"/>
        <v>41.023925824219276</v>
      </c>
      <c r="M95" s="67">
        <f>IF(SIN(N95/$J$7)&gt;0,$J$7*ACOS((SIN($D$4/$J$7)-SIN(G95/$J$7)*O95)/(COS(G95/$J$7)*SIN(P95/$J$7))),360-($J$7*ACOS((SIN($D$4/$J$7)-SIN(G95/$J$7)*O95)/(COS(G95/$J$7)*SIN(P95/$J$7)))))</f>
        <v>269.88598855849017</v>
      </c>
      <c r="N95" s="68">
        <f>+F95-$D$3</f>
        <v>-51.96</v>
      </c>
      <c r="O95" s="69">
        <f>SIN(G95/$J$7)*SIN($D$4/$J$7)+COS(G95/$J$7)*COS($D$4/$J$7)*COS(N95/$J$7)</f>
        <v>0.7544355544070267</v>
      </c>
      <c r="P95" s="59">
        <f t="shared" si="5"/>
        <v>41.023925824219276</v>
      </c>
      <c r="Q95" s="38"/>
    </row>
    <row r="96" spans="1:17" ht="12" customHeight="1">
      <c r="A96" s="46">
        <f t="shared" si="4"/>
        <v>89</v>
      </c>
      <c r="B96" s="46" t="s">
        <v>217</v>
      </c>
      <c r="C96" s="46" t="s">
        <v>218</v>
      </c>
      <c r="D96" s="61" t="s">
        <v>24</v>
      </c>
      <c r="E96" s="61" t="s">
        <v>32</v>
      </c>
      <c r="F96" s="64">
        <f>-13.2</f>
        <v>-13.2</v>
      </c>
      <c r="G96" s="64">
        <f>-8.8</f>
        <v>-8.8</v>
      </c>
      <c r="H96" s="65">
        <f>IF(SIN(J96/$J$7)&gt;0,$J$7*ACOS((SIN(G96/$J$7)-SIN($D$4/$J$7)*K96)/(COS($D$4/$J$7)*SIN(L96/$J$7))),360-($J$7*ACOS((SIN(G96/$J$7)-SIN($D$4/$J$7)*K96)/(COS($D$4/$J$7)*SIN(L96/$J$7)))))</f>
        <v>76.89908937366562</v>
      </c>
      <c r="I96" s="66">
        <f>69.041*$J$7*(ACOS(SIN($D$4/$J$7)*SIN(G96/$J$7)+COS($D$4/$J$7)*COS(G96/$J$7)*COS(J96/$J$7)))</f>
        <v>8564.937049262662</v>
      </c>
      <c r="J96" s="63">
        <f>+$D$3-F96</f>
        <v>125.26</v>
      </c>
      <c r="K96" s="63">
        <f>SIN($D$4/$J$7)*SIN(G96/$J$7)+COS($D$4/$J$7)*COS(G96/$J$7)*COS(J96/$J$7)</f>
        <v>-0.5600001502348356</v>
      </c>
      <c r="L96" s="63">
        <f t="shared" si="3"/>
        <v>124.05580813230779</v>
      </c>
      <c r="M96" s="67">
        <f>IF(SIN(N96/$J$7)&gt;0,$J$7*ACOS((SIN($D$4/$J$7)-SIN(G96/$J$7)*O96)/(COS(G96/$J$7)*SIN(P96/$J$7))),360-($J$7*ACOS((SIN($D$4/$J$7)-SIN(G96/$J$7)*O96)/(COS(G96/$J$7)*SIN(P96/$J$7)))))</f>
        <v>304.77669233839026</v>
      </c>
      <c r="N96" s="68">
        <f>+F96-$D$3</f>
        <v>-125.26</v>
      </c>
      <c r="O96" s="69">
        <f>SIN(G96/$J$7)*SIN($D$4/$J$7)+COS(G96/$J$7)*COS($D$4/$J$7)*COS(N96/$J$7)</f>
        <v>-0.5600001502348356</v>
      </c>
      <c r="P96" s="59">
        <f t="shared" si="5"/>
        <v>124.05580813230779</v>
      </c>
      <c r="Q96" s="38"/>
    </row>
    <row r="97" spans="1:17" ht="12" customHeight="1">
      <c r="A97" s="46">
        <f t="shared" si="4"/>
        <v>90</v>
      </c>
      <c r="B97" s="46" t="s">
        <v>219</v>
      </c>
      <c r="C97" s="46" t="s">
        <v>220</v>
      </c>
      <c r="D97" s="61" t="s">
        <v>24</v>
      </c>
      <c r="E97" s="61" t="s">
        <v>51</v>
      </c>
      <c r="F97" s="64">
        <v>24</v>
      </c>
      <c r="G97" s="64">
        <v>16</v>
      </c>
      <c r="H97" s="65">
        <f>IF(SIN(J97/$J$7)&gt;0,$J$7*ACOS((SIN(G97/$J$7)-SIN($D$4/$J$7)*K97)/(COS($D$4/$J$7)*SIN(L97/$J$7))),360-($J$7*ACOS((SIN(G97/$J$7)-SIN($D$4/$J$7)*K97)/(COS($D$4/$J$7)*SIN(L97/$J$7)))))</f>
        <v>77.5711751576109</v>
      </c>
      <c r="I97" s="66">
        <f>69.041*$J$7*(ACOS(SIN($D$4/$J$7)*SIN(G97/$J$7)+COS($D$4/$J$7)*COS(G97/$J$7)*COS(J97/$J$7)))</f>
        <v>5499.942192320496</v>
      </c>
      <c r="J97" s="63">
        <f>+$D$3-F97</f>
        <v>88.06</v>
      </c>
      <c r="K97" s="63">
        <f>SIN($D$4/$J$7)*SIN(G97/$J$7)+COS($D$4/$J$7)*COS(G97/$J$7)*COS(J97/$J$7)</f>
        <v>0.17945519788215514</v>
      </c>
      <c r="L97" s="63">
        <f t="shared" si="3"/>
        <v>79.66197176055528</v>
      </c>
      <c r="M97" s="67">
        <f>IF(SIN(N97/$J$7)&gt;0,$J$7*ACOS((SIN($D$4/$J$7)-SIN(G97/$J$7)*O97)/(COS(G97/$J$7)*SIN(P97/$J$7))),360-($J$7*ACOS((SIN($D$4/$J$7)-SIN(G97/$J$7)*O97)/(COS(G97/$J$7)*SIN(P97/$J$7)))))</f>
        <v>302.148597260408</v>
      </c>
      <c r="N97" s="68">
        <f>+F97-$D$3</f>
        <v>-88.06</v>
      </c>
      <c r="O97" s="69">
        <f>SIN(G97/$J$7)*SIN($D$4/$J$7)+COS(G97/$J$7)*COS($D$4/$J$7)*COS(N97/$J$7)</f>
        <v>0.17945519788215514</v>
      </c>
      <c r="P97" s="59">
        <f t="shared" si="5"/>
        <v>79.66197176055528</v>
      </c>
      <c r="Q97" s="38"/>
    </row>
    <row r="98" spans="1:17" ht="12" customHeight="1">
      <c r="A98" s="46">
        <f t="shared" si="4"/>
        <v>91</v>
      </c>
      <c r="B98" s="46" t="s">
        <v>221</v>
      </c>
      <c r="C98" s="46" t="s">
        <v>222</v>
      </c>
      <c r="D98" s="61" t="s">
        <v>24</v>
      </c>
      <c r="E98" s="61" t="s">
        <v>27</v>
      </c>
      <c r="F98" s="64">
        <f>-43.7</f>
        <v>-43.7</v>
      </c>
      <c r="G98" s="64">
        <f>-11.8</f>
        <v>-11.8</v>
      </c>
      <c r="H98" s="65">
        <f>IF(SIN(J98/$J$7)&gt;0,$J$7*ACOS((SIN(G98/$J$7)-SIN($D$4/$J$7)*K98)/(COS($D$4/$J$7)*SIN(L98/$J$7))),360-($J$7*ACOS((SIN(G98/$J$7)-SIN($D$4/$J$7)*K98)/(COS($D$4/$J$7)*SIN(L98/$J$7)))))</f>
        <v>51.22268231482008</v>
      </c>
      <c r="I98" s="66">
        <f>69.041*$J$7*(ACOS(SIN($D$4/$J$7)*SIN(G98/$J$7)+COS($D$4/$J$7)*COS(G98/$J$7)*COS(J98/$J$7)))</f>
        <v>10284.935750054183</v>
      </c>
      <c r="J98" s="63">
        <f>+$D$3-F98</f>
        <v>155.76</v>
      </c>
      <c r="K98" s="63">
        <f>SIN($D$4/$J$7)*SIN(G98/$J$7)+COS($D$4/$J$7)*COS(G98/$J$7)*COS(J98/$J$7)</f>
        <v>-0.8568842150967264</v>
      </c>
      <c r="L98" s="63">
        <f t="shared" si="3"/>
        <v>148.96852232809755</v>
      </c>
      <c r="M98" s="67">
        <f>IF(SIN(N98/$J$7)&gt;0,$J$7*ACOS((SIN($D$4/$J$7)-SIN(G98/$J$7)*O98)/(COS(G98/$J$7)*SIN(P98/$J$7))),360-($J$7*ACOS((SIN($D$4/$J$7)-SIN(G98/$J$7)*O98)/(COS(G98/$J$7)*SIN(P98/$J$7)))))</f>
        <v>318.4145396048971</v>
      </c>
      <c r="N98" s="68">
        <f>+F98-$D$3</f>
        <v>-155.76</v>
      </c>
      <c r="O98" s="69">
        <f>SIN(G98/$J$7)*SIN($D$4/$J$7)+COS(G98/$J$7)*COS($D$4/$J$7)*COS(N98/$J$7)</f>
        <v>-0.8568842150967264</v>
      </c>
      <c r="P98" s="59">
        <f t="shared" si="5"/>
        <v>148.96852232809755</v>
      </c>
      <c r="Q98" s="38"/>
    </row>
    <row r="99" spans="1:17" ht="12" customHeight="1">
      <c r="A99" s="46">
        <f t="shared" si="4"/>
        <v>92</v>
      </c>
      <c r="B99" s="46" t="s">
        <v>223</v>
      </c>
      <c r="C99" s="46" t="s">
        <v>224</v>
      </c>
      <c r="D99" s="61" t="s">
        <v>13</v>
      </c>
      <c r="E99" s="61" t="s">
        <v>21</v>
      </c>
      <c r="F99" s="64">
        <f>-6</f>
        <v>-6</v>
      </c>
      <c r="G99" s="64">
        <v>51</v>
      </c>
      <c r="H99" s="65">
        <f>IF(SIN(J99/$J$7)&gt;0,$J$7*ACOS((SIN(G99/$J$7)-SIN($D$4/$J$7)*K99)/(COS($D$4/$J$7)*SIN(L99/$J$7))),360-($J$7*ACOS((SIN(G99/$J$7)-SIN($D$4/$J$7)*K99)/(COS($D$4/$J$7)*SIN(L99/$J$7)))))</f>
        <v>34.39284239268322</v>
      </c>
      <c r="I99" s="66">
        <f>69.041*$J$7*(ACOS(SIN($D$4/$J$7)*SIN(G99/$J$7)+COS($D$4/$J$7)*COS(G99/$J$7)*COS(J99/$J$7)))</f>
        <v>5486.5341523867055</v>
      </c>
      <c r="J99" s="63">
        <f>+$D$3-F99</f>
        <v>118.06</v>
      </c>
      <c r="K99" s="63">
        <f>SIN($D$4/$J$7)*SIN(G99/$J$7)+COS($D$4/$J$7)*COS(G99/$J$7)*COS(J99/$J$7)</f>
        <v>0.18278863562298742</v>
      </c>
      <c r="L99" s="63">
        <f t="shared" si="3"/>
        <v>79.46776773781819</v>
      </c>
      <c r="M99" s="67">
        <f>IF(SIN(N99/$J$7)&gt;0,$J$7*ACOS((SIN($D$4/$J$7)-SIN(G99/$J$7)*O99)/(COS(G99/$J$7)*SIN(P99/$J$7))),360-($J$7*ACOS((SIN($D$4/$J$7)-SIN(G99/$J$7)*O99)/(COS(G99/$J$7)*SIN(P99/$J$7)))))</f>
        <v>311.57871572493804</v>
      </c>
      <c r="N99" s="68">
        <f>+F99-$D$3</f>
        <v>-118.06</v>
      </c>
      <c r="O99" s="69">
        <f>SIN(G99/$J$7)*SIN($D$4/$J$7)+COS(G99/$J$7)*COS($D$4/$J$7)*COS(N99/$J$7)</f>
        <v>0.18278863562298742</v>
      </c>
      <c r="P99" s="59">
        <f t="shared" si="5"/>
        <v>79.46776773781819</v>
      </c>
      <c r="Q99" s="38"/>
    </row>
    <row r="100" spans="1:17" ht="12" customHeight="1">
      <c r="A100" s="46">
        <f t="shared" si="4"/>
        <v>93</v>
      </c>
      <c r="B100" s="46" t="s">
        <v>225</v>
      </c>
      <c r="C100" s="46" t="s">
        <v>226</v>
      </c>
      <c r="D100" s="61" t="s">
        <v>37</v>
      </c>
      <c r="E100" s="61" t="s">
        <v>227</v>
      </c>
      <c r="F100" s="64">
        <f>-121</f>
        <v>-121</v>
      </c>
      <c r="G100" s="64">
        <v>14.6</v>
      </c>
      <c r="H100" s="65">
        <f>IF(SIN(J100/$J$7)&gt;0,$J$7*ACOS((SIN(G100/$J$7)-SIN($D$4/$J$7)*K100)/(COS($D$4/$J$7)*SIN(L100/$J$7))),360-($J$7*ACOS((SIN(G100/$J$7)-SIN($D$4/$J$7)*K100)/(COS($D$4/$J$7)*SIN(L100/$J$7)))))</f>
        <v>304.4953754127241</v>
      </c>
      <c r="I100" s="66">
        <f>69.041*$J$7*(ACOS(SIN($D$4/$J$7)*SIN(G100/$J$7)+COS($D$4/$J$7)*COS(G100/$J$7)*COS(J100/$J$7)))</f>
        <v>7608.641042905983</v>
      </c>
      <c r="J100" s="63">
        <f>+$D$3-F100</f>
        <v>233.06</v>
      </c>
      <c r="K100" s="63">
        <f>SIN($D$4/$J$7)*SIN(G100/$J$7)+COS($D$4/$J$7)*COS(G100/$J$7)*COS(J100/$J$7)</f>
        <v>-0.3453747914675356</v>
      </c>
      <c r="L100" s="63">
        <f t="shared" si="3"/>
        <v>110.20467610414077</v>
      </c>
      <c r="M100" s="67">
        <f>IF(SIN(N100/$J$7)&gt;0,$J$7*ACOS((SIN($D$4/$J$7)-SIN(G100/$J$7)*O100)/(COS(G100/$J$7)*SIN(P100/$J$7))),360-($J$7*ACOS((SIN($D$4/$J$7)-SIN(G100/$J$7)*O100)/(COS(G100/$J$7)*SIN(P100/$J$7)))))</f>
        <v>45.21764208665773</v>
      </c>
      <c r="N100" s="68">
        <f>+F100-$D$3</f>
        <v>-233.06</v>
      </c>
      <c r="O100" s="69">
        <f>SIN(G100/$J$7)*SIN($D$4/$J$7)+COS(G100/$J$7)*COS($D$4/$J$7)*COS(N100/$J$7)</f>
        <v>-0.3453747914675356</v>
      </c>
      <c r="P100" s="59">
        <f t="shared" si="5"/>
        <v>110.20467610414077</v>
      </c>
      <c r="Q100" s="38"/>
    </row>
    <row r="101" spans="1:17" ht="12" customHeight="1">
      <c r="A101" s="46">
        <f t="shared" si="4"/>
        <v>94</v>
      </c>
      <c r="B101" s="46" t="s">
        <v>228</v>
      </c>
      <c r="C101" s="46" t="s">
        <v>229</v>
      </c>
      <c r="D101" s="61" t="s">
        <v>24</v>
      </c>
      <c r="E101" s="61" t="s">
        <v>84</v>
      </c>
      <c r="F101" s="64">
        <v>-39</v>
      </c>
      <c r="G101" s="64">
        <v>15.2</v>
      </c>
      <c r="H101" s="65">
        <f>IF(SIN(J101/$J$7)&gt;0,$J$7*ACOS((SIN(G101/$J$7)-SIN($D$4/$J$7)*K101)/(COS($D$4/$J$7)*SIN(L101/$J$7))),360-($J$7*ACOS((SIN(G101/$J$7)-SIN($D$4/$J$7)*K101)/(COS($D$4/$J$7)*SIN(L101/$J$7)))))</f>
        <v>34.272904681897074</v>
      </c>
      <c r="I101" s="66">
        <f>69.041*$J$7*(ACOS(SIN($D$4/$J$7)*SIN(G101/$J$7)+COS($D$4/$J$7)*COS(G101/$J$7)*COS(J101/$J$7)))</f>
        <v>8559.76687058503</v>
      </c>
      <c r="J101" s="63">
        <f>+$D$3-F101</f>
        <v>151.06</v>
      </c>
      <c r="K101" s="63">
        <f>SIN($D$4/$J$7)*SIN(G101/$J$7)+COS($D$4/$J$7)*COS(G101/$J$7)*COS(J101/$J$7)</f>
        <v>-0.5589168318819433</v>
      </c>
      <c r="L101" s="63">
        <f t="shared" si="3"/>
        <v>123.98092250380253</v>
      </c>
      <c r="M101" s="67">
        <f>IF(SIN(N101/$J$7)&gt;0,$J$7*ACOS((SIN($D$4/$J$7)-SIN(G101/$J$7)*O101)/(COS(G101/$J$7)*SIN(P101/$J$7))),360-($J$7*ACOS((SIN($D$4/$J$7)-SIN(G101/$J$7)*O101)/(COS(G101/$J$7)*SIN(P101/$J$7)))))</f>
        <v>330.900171183831</v>
      </c>
      <c r="N101" s="68">
        <f>+F101-$D$3</f>
        <v>-151.06</v>
      </c>
      <c r="O101" s="69">
        <f>SIN(G101/$J$7)*SIN($D$4/$J$7)+COS(G101/$J$7)*COS($D$4/$J$7)*COS(N101/$J$7)</f>
        <v>-0.5589168318819433</v>
      </c>
      <c r="P101" s="59">
        <f t="shared" si="5"/>
        <v>123.98092250380253</v>
      </c>
      <c r="Q101" s="38"/>
    </row>
    <row r="102" spans="1:17" ht="12" customHeight="1">
      <c r="A102" s="46">
        <f t="shared" si="4"/>
        <v>95</v>
      </c>
      <c r="B102" s="46" t="s">
        <v>725</v>
      </c>
      <c r="C102" s="46" t="s">
        <v>726</v>
      </c>
      <c r="D102" s="61" t="s">
        <v>17</v>
      </c>
      <c r="E102" s="61">
        <v>20</v>
      </c>
      <c r="F102" s="64">
        <v>-34.5</v>
      </c>
      <c r="G102" s="64">
        <v>31.5</v>
      </c>
      <c r="H102" s="65">
        <f>IF(SIN(J102/$J$7)&gt;0,$J$7*ACOS((SIN(G102/$J$7)-SIN($D$4/$J$7)*K102)/(COS($D$4/$J$7)*SIN(L102/$J$7))),360-($J$7*ACOS((SIN(G102/$J$7)-SIN($D$4/$J$7)*K102)/(COS($D$4/$J$7)*SIN(L102/$J$7)))))</f>
        <v>29.553348046425327</v>
      </c>
      <c r="I102" s="66">
        <f>69.041*$J$7*(ACOS(SIN($D$4/$J$7)*SIN(G102/$J$7)+COS($D$4/$J$7)*COS(G102/$J$7)*COS(J102/$J$7)))</f>
        <v>7436.400251598735</v>
      </c>
      <c r="J102" s="63">
        <f>+$D$3-F102</f>
        <v>146.56</v>
      </c>
      <c r="K102" s="63">
        <f>SIN($D$4/$J$7)*SIN(G102/$J$7)+COS($D$4/$J$7)*COS(G102/$J$7)*COS(J102/$J$7)</f>
        <v>-0.3041979162939764</v>
      </c>
      <c r="L102" s="63">
        <f t="shared" si="3"/>
        <v>107.70991514605431</v>
      </c>
      <c r="M102" s="67">
        <f>IF(SIN(N102/$J$7)&gt;0,$J$7*ACOS((SIN($D$4/$J$7)-SIN(G102/$J$7)*O102)/(COS(G102/$J$7)*SIN(P102/$J$7))),360-($J$7*ACOS((SIN($D$4/$J$7)-SIN(G102/$J$7)*O102)/(COS(G102/$J$7)*SIN(P102/$J$7)))))</f>
        <v>331.17696483904405</v>
      </c>
      <c r="N102" s="68">
        <f>+F102-$D$3</f>
        <v>-146.56</v>
      </c>
      <c r="O102" s="69">
        <f>SIN(G102/$J$7)*SIN($D$4/$J$7)+COS(G102/$J$7)*COS($D$4/$J$7)*COS(N102/$J$7)</f>
        <v>-0.3041979162939764</v>
      </c>
      <c r="P102" s="59">
        <f t="shared" si="5"/>
        <v>107.70991514605431</v>
      </c>
      <c r="Q102" s="38"/>
    </row>
    <row r="103" spans="1:17" ht="12" customHeight="1">
      <c r="A103" s="46">
        <f t="shared" si="4"/>
        <v>96</v>
      </c>
      <c r="B103" s="46" t="s">
        <v>230</v>
      </c>
      <c r="C103" s="46" t="s">
        <v>231</v>
      </c>
      <c r="D103" s="61" t="s">
        <v>13</v>
      </c>
      <c r="E103" s="61" t="s">
        <v>21</v>
      </c>
      <c r="F103" s="64">
        <v>3.7</v>
      </c>
      <c r="G103" s="64">
        <v>40.4</v>
      </c>
      <c r="H103" s="65">
        <f>IF(SIN(J103/$J$7)&gt;0,$J$7*ACOS((SIN(G103/$J$7)-SIN($D$4/$J$7)*K103)/(COS($D$4/$J$7)*SIN(L103/$J$7))),360-($J$7*ACOS((SIN(G103/$J$7)-SIN($D$4/$J$7)*K103)/(COS($D$4/$J$7)*SIN(L103/$J$7)))))</f>
        <v>47.054370801823424</v>
      </c>
      <c r="I103" s="66">
        <f>69.041*$J$7*(ACOS(SIN($D$4/$J$7)*SIN(G103/$J$7)+COS($D$4/$J$7)*COS(G103/$J$7)*COS(J103/$J$7)))</f>
        <v>5584.925682750896</v>
      </c>
      <c r="J103" s="63">
        <f>+$D$3-F103</f>
        <v>108.36</v>
      </c>
      <c r="K103" s="63">
        <f>SIN($D$4/$J$7)*SIN(G103/$J$7)+COS($D$4/$J$7)*COS(G103/$J$7)*COS(J103/$J$7)</f>
        <v>0.15828068089252176</v>
      </c>
      <c r="L103" s="63">
        <f t="shared" si="3"/>
        <v>80.89288513710544</v>
      </c>
      <c r="M103" s="67">
        <f>IF(SIN(N103/$J$7)&gt;0,$J$7*ACOS((SIN($D$4/$J$7)-SIN(G103/$J$7)*O103)/(COS(G103/$J$7)*SIN(P103/$J$7))),360-($J$7*ACOS((SIN($D$4/$J$7)-SIN(G103/$J$7)*O103)/(COS(G103/$J$7)*SIN(P103/$J$7)))))</f>
        <v>306.7667703754102</v>
      </c>
      <c r="N103" s="68">
        <f>+F103-$D$3</f>
        <v>-108.36</v>
      </c>
      <c r="O103" s="69">
        <f>SIN(G103/$J$7)*SIN($D$4/$J$7)+COS(G103/$J$7)*COS($D$4/$J$7)*COS(N103/$J$7)</f>
        <v>0.15828068089252176</v>
      </c>
      <c r="P103" s="59">
        <f t="shared" si="5"/>
        <v>80.89288513710544</v>
      </c>
      <c r="Q103" s="38"/>
    </row>
    <row r="104" spans="1:17" ht="12" customHeight="1">
      <c r="A104" s="46">
        <f t="shared" si="4"/>
        <v>97</v>
      </c>
      <c r="B104" s="46" t="s">
        <v>232</v>
      </c>
      <c r="C104" s="46" t="s">
        <v>233</v>
      </c>
      <c r="D104" s="61" t="s">
        <v>13</v>
      </c>
      <c r="E104" s="61" t="s">
        <v>21</v>
      </c>
      <c r="F104" s="64">
        <f>-3</f>
        <v>-3</v>
      </c>
      <c r="G104" s="64">
        <v>39.5</v>
      </c>
      <c r="H104" s="65">
        <f>IF(SIN(J104/$J$7)&gt;0,$J$7*ACOS((SIN(G104/$J$7)-SIN($D$4/$J$7)*K104)/(COS($D$4/$J$7)*SIN(L104/$J$7))),360-($J$7*ACOS((SIN(G104/$J$7)-SIN($D$4/$J$7)*K104)/(COS($D$4/$J$7)*SIN(L104/$J$7)))))</f>
        <v>44.52235119806003</v>
      </c>
      <c r="I104" s="66">
        <f>69.041*$J$7*(ACOS(SIN($D$4/$J$7)*SIN(G104/$J$7)+COS($D$4/$J$7)*COS(G104/$J$7)*COS(J104/$J$7)))</f>
        <v>5900.254164011795</v>
      </c>
      <c r="J104" s="63">
        <f>+$D$3-F104</f>
        <v>115.06</v>
      </c>
      <c r="K104" s="63">
        <f>SIN($D$4/$J$7)*SIN(G104/$J$7)+COS($D$4/$J$7)*COS(G104/$J$7)*COS(J104/$J$7)</f>
        <v>0.07915245950432809</v>
      </c>
      <c r="L104" s="63">
        <f t="shared" si="3"/>
        <v>85.46014924482259</v>
      </c>
      <c r="M104" s="67">
        <f>IF(SIN(N104/$J$7)&gt;0,$J$7*ACOS((SIN($D$4/$J$7)-SIN(G104/$J$7)*O104)/(COS(G104/$J$7)*SIN(P104/$J$7))),360-($J$7*ACOS((SIN($D$4/$J$7)-SIN(G104/$J$7)*O104)/(COS(G104/$J$7)*SIN(P104/$J$7)))))</f>
        <v>310.7708630054613</v>
      </c>
      <c r="N104" s="68">
        <f>+F104-$D$3</f>
        <v>-115.06</v>
      </c>
      <c r="O104" s="69">
        <f>SIN(G104/$J$7)*SIN($D$4/$J$7)+COS(G104/$J$7)*COS($D$4/$J$7)*COS(N104/$J$7)</f>
        <v>0.07915245950432809</v>
      </c>
      <c r="P104" s="59">
        <f t="shared" si="5"/>
        <v>85.46014924482259</v>
      </c>
      <c r="Q104" s="38"/>
    </row>
    <row r="105" spans="1:17" ht="12" customHeight="1">
      <c r="A105" s="46">
        <f t="shared" si="4"/>
        <v>98</v>
      </c>
      <c r="B105" s="46" t="s">
        <v>234</v>
      </c>
      <c r="C105" s="46" t="s">
        <v>235</v>
      </c>
      <c r="D105" s="61" t="s">
        <v>24</v>
      </c>
      <c r="E105" s="61" t="s">
        <v>48</v>
      </c>
      <c r="F105" s="64">
        <v>15</v>
      </c>
      <c r="G105" s="64">
        <v>28</v>
      </c>
      <c r="H105" s="65">
        <f>IF(SIN(J105/$J$7)&gt;0,$J$7*ACOS((SIN(G105/$J$7)-SIN($D$4/$J$7)*K105)/(COS($D$4/$J$7)*SIN(L105/$J$7))),360-($J$7*ACOS((SIN(G105/$J$7)-SIN($D$4/$J$7)*K105)/(COS($D$4/$J$7)*SIN(L105/$J$7)))))</f>
        <v>62.75332686695989</v>
      </c>
      <c r="I105" s="66">
        <f>69.041*$J$7*(ACOS(SIN($D$4/$J$7)*SIN(G105/$J$7)+COS($D$4/$J$7)*COS(G105/$J$7)*COS(J105/$J$7)))</f>
        <v>5541.872078588837</v>
      </c>
      <c r="J105" s="63">
        <f>+$D$3-F105</f>
        <v>97.06</v>
      </c>
      <c r="K105" s="63">
        <f>SIN($D$4/$J$7)*SIN(G105/$J$7)+COS($D$4/$J$7)*COS(G105/$J$7)*COS(J105/$J$7)</f>
        <v>0.169017676242893</v>
      </c>
      <c r="L105" s="63">
        <f t="shared" si="3"/>
        <v>80.26929040119404</v>
      </c>
      <c r="M105" s="67">
        <f>IF(SIN(N105/$J$7)&gt;0,$J$7*ACOS((SIN($D$4/$J$7)-SIN(G105/$J$7)*O105)/(COS(G105/$J$7)*SIN(P105/$J$7))),360-($J$7*ACOS((SIN($D$4/$J$7)-SIN(G105/$J$7)*O105)/(COS(G105/$J$7)*SIN(P105/$J$7)))))</f>
        <v>302.9486956792815</v>
      </c>
      <c r="N105" s="68">
        <f>+F105-$D$3</f>
        <v>-97.06</v>
      </c>
      <c r="O105" s="69">
        <f>SIN(G105/$J$7)*SIN($D$4/$J$7)+COS(G105/$J$7)*COS($D$4/$J$7)*COS(N105/$J$7)</f>
        <v>0.169017676242893</v>
      </c>
      <c r="P105" s="59">
        <f t="shared" si="5"/>
        <v>80.26929040119404</v>
      </c>
      <c r="Q105" s="38"/>
    </row>
    <row r="106" spans="1:17" ht="12" customHeight="1">
      <c r="A106" s="46">
        <f t="shared" si="4"/>
        <v>99</v>
      </c>
      <c r="B106" s="46" t="s">
        <v>236</v>
      </c>
      <c r="C106" s="46" t="s">
        <v>237</v>
      </c>
      <c r="D106" s="61" t="s">
        <v>24</v>
      </c>
      <c r="E106" s="61" t="s">
        <v>48</v>
      </c>
      <c r="F106" s="64">
        <v>5.4</v>
      </c>
      <c r="G106" s="64">
        <v>36.7</v>
      </c>
      <c r="H106" s="65">
        <f>IF(SIN(J106/$J$7)&gt;0,$J$7*ACOS((SIN(G106/$J$7)-SIN($D$4/$J$7)*K106)/(COS($D$4/$J$7)*SIN(L106/$J$7))),360-($J$7*ACOS((SIN(G106/$J$7)-SIN($D$4/$J$7)*K106)/(COS($D$4/$J$7)*SIN(L106/$J$7)))))</f>
        <v>50.86110865797717</v>
      </c>
      <c r="I106" s="66">
        <f>69.041*$J$7*(ACOS(SIN($D$4/$J$7)*SIN(G106/$J$7)+COS($D$4/$J$7)*COS(G106/$J$7)*COS(J106/$J$7)))</f>
        <v>5663.180223823977</v>
      </c>
      <c r="J106" s="63">
        <f>+$D$3-F106</f>
        <v>106.66</v>
      </c>
      <c r="K106" s="63">
        <f>SIN($D$4/$J$7)*SIN(G106/$J$7)+COS($D$4/$J$7)*COS(G106/$J$7)*COS(J106/$J$7)</f>
        <v>0.13871791964559413</v>
      </c>
      <c r="L106" s="63">
        <f t="shared" si="3"/>
        <v>82.02633542132902</v>
      </c>
      <c r="M106" s="67">
        <f>IF(SIN(N106/$J$7)&gt;0,$J$7*ACOS((SIN($D$4/$J$7)-SIN(G106/$J$7)*O106)/(COS(G106/$J$7)*SIN(P106/$J$7))),360-($J$7*ACOS((SIN($D$4/$J$7)-SIN(G106/$J$7)*O106)/(COS(G106/$J$7)*SIN(P106/$J$7)))))</f>
        <v>306.27229153011274</v>
      </c>
      <c r="N106" s="68">
        <f>+F106-$D$3</f>
        <v>-106.66</v>
      </c>
      <c r="O106" s="69">
        <f>SIN(G106/$J$7)*SIN($D$4/$J$7)+COS(G106/$J$7)*COS($D$4/$J$7)*COS(N106/$J$7)</f>
        <v>0.13871791964559413</v>
      </c>
      <c r="P106" s="59">
        <f t="shared" si="5"/>
        <v>82.02633542132902</v>
      </c>
      <c r="Q106" s="38"/>
    </row>
    <row r="107" spans="1:17" ht="12" customHeight="1">
      <c r="A107" s="46">
        <f t="shared" si="4"/>
        <v>100</v>
      </c>
      <c r="B107" s="46" t="s">
        <v>238</v>
      </c>
      <c r="C107" s="46" t="s">
        <v>239</v>
      </c>
      <c r="D107" s="61" t="s">
        <v>13</v>
      </c>
      <c r="E107" s="61" t="s">
        <v>21</v>
      </c>
      <c r="F107" s="64">
        <v>6.3</v>
      </c>
      <c r="G107" s="64">
        <v>53.3</v>
      </c>
      <c r="H107" s="65">
        <f>IF(SIN(J107/$J$7)&gt;0,$J$7*ACOS((SIN(G107/$J$7)-SIN($D$4/$J$7)*K107)/(COS($D$4/$J$7)*SIN(L107/$J$7))),360-($J$7*ACOS((SIN(G107/$J$7)-SIN($D$4/$J$7)*K107)/(COS($D$4/$J$7)*SIN(L107/$J$7)))))</f>
        <v>37.193910647200724</v>
      </c>
      <c r="I107" s="66">
        <f>69.041*$J$7*(ACOS(SIN($D$4/$J$7)*SIN(G107/$J$7)+COS($D$4/$J$7)*COS(G107/$J$7)*COS(J107/$J$7)))</f>
        <v>4975.868212754881</v>
      </c>
      <c r="J107" s="63">
        <f>+$D$3-F107</f>
        <v>105.76</v>
      </c>
      <c r="K107" s="63">
        <f>SIN($D$4/$J$7)*SIN(G107/$J$7)+COS($D$4/$J$7)*COS(G107/$J$7)*COS(J107/$J$7)</f>
        <v>0.3078347837592318</v>
      </c>
      <c r="L107" s="63">
        <f t="shared" si="3"/>
        <v>72.0712071487215</v>
      </c>
      <c r="M107" s="67">
        <f>IF(SIN(N107/$J$7)&gt;0,$J$7*ACOS((SIN($D$4/$J$7)-SIN(G107/$J$7)*O107)/(COS(G107/$J$7)*SIN(P107/$J$7))),360-($J$7*ACOS((SIN($D$4/$J$7)-SIN(G107/$J$7)*O107)/(COS(G107/$J$7)*SIN(P107/$J$7)))))</f>
        <v>302.5405287046636</v>
      </c>
      <c r="N107" s="68">
        <f>+F107-$D$3</f>
        <v>-105.76</v>
      </c>
      <c r="O107" s="69">
        <f>SIN(G107/$J$7)*SIN($D$4/$J$7)+COS(G107/$J$7)*COS($D$4/$J$7)*COS(N107/$J$7)</f>
        <v>0.3078347837592318</v>
      </c>
      <c r="P107" s="59">
        <f t="shared" si="5"/>
        <v>72.0712071487215</v>
      </c>
      <c r="Q107" s="38"/>
    </row>
    <row r="108" spans="1:17" ht="12" customHeight="1">
      <c r="A108" s="46">
        <f t="shared" si="4"/>
        <v>101</v>
      </c>
      <c r="B108" s="46" t="s">
        <v>240</v>
      </c>
      <c r="C108" s="46" t="s">
        <v>241</v>
      </c>
      <c r="D108" s="61" t="s">
        <v>17</v>
      </c>
      <c r="E108" s="61" t="s">
        <v>60</v>
      </c>
      <c r="F108" s="64">
        <f>-44.5</f>
        <v>-44.5</v>
      </c>
      <c r="G108" s="64">
        <v>40.5</v>
      </c>
      <c r="H108" s="65">
        <f>IF(SIN(J108/$J$7)&gt;0,$J$7*ACOS((SIN(G108/$J$7)-SIN($D$4/$J$7)*K108)/(COS($D$4/$J$7)*SIN(L108/$J$7))),360-($J$7*ACOS((SIN(G108/$J$7)-SIN($D$4/$J$7)*K108)/(COS($D$4/$J$7)*SIN(L108/$J$7)))))</f>
        <v>18.074791742087815</v>
      </c>
      <c r="I108" s="66">
        <f>69.041*$J$7*(ACOS(SIN($D$4/$J$7)*SIN(G108/$J$7)+COS($D$4/$J$7)*COS(G108/$J$7)*COS(J108/$J$7)))</f>
        <v>7101.281437050328</v>
      </c>
      <c r="J108" s="63">
        <f>+$D$3-F108</f>
        <v>156.56</v>
      </c>
      <c r="K108" s="63">
        <f>SIN($D$4/$J$7)*SIN(G108/$J$7)+COS($D$4/$J$7)*COS(G108/$J$7)*COS(J108/$J$7)</f>
        <v>-0.22250157145037286</v>
      </c>
      <c r="L108" s="63">
        <f t="shared" si="3"/>
        <v>102.85600493982314</v>
      </c>
      <c r="M108" s="67">
        <f>IF(SIN(N108/$J$7)&gt;0,$J$7*ACOS((SIN($D$4/$J$7)-SIN(G108/$J$7)*O108)/(COS(G108/$J$7)*SIN(P108/$J$7))),360-($J$7*ACOS((SIN($D$4/$J$7)-SIN(G108/$J$7)*O108)/(COS(G108/$J$7)*SIN(P108/$J$7)))))</f>
        <v>340.12053372015913</v>
      </c>
      <c r="N108" s="68">
        <f>+F108-$D$3</f>
        <v>-156.56</v>
      </c>
      <c r="O108" s="69">
        <f>SIN(G108/$J$7)*SIN($D$4/$J$7)+COS(G108/$J$7)*COS($D$4/$J$7)*COS(N108/$J$7)</f>
        <v>-0.22250157145037286</v>
      </c>
      <c r="P108" s="59">
        <f t="shared" si="5"/>
        <v>102.85600493982314</v>
      </c>
      <c r="Q108" s="38"/>
    </row>
    <row r="109" spans="1:17" ht="12" customHeight="1">
      <c r="A109" s="46">
        <f t="shared" si="4"/>
        <v>102</v>
      </c>
      <c r="B109" s="46" t="s">
        <v>242</v>
      </c>
      <c r="C109" s="46" t="s">
        <v>243</v>
      </c>
      <c r="D109" s="61" t="s">
        <v>24</v>
      </c>
      <c r="E109" s="61" t="s">
        <v>51</v>
      </c>
      <c r="F109" s="64">
        <v>11</v>
      </c>
      <c r="G109" s="64">
        <v>7</v>
      </c>
      <c r="H109" s="65">
        <f>IF(SIN(J109/$J$7)&gt;0,$J$7*ACOS((SIN(G109/$J$7)-SIN($D$4/$J$7)*K109)/(COS($D$4/$J$7)*SIN(L109/$J$7))),360-($J$7*ACOS((SIN(G109/$J$7)-SIN($D$4/$J$7)*K109)/(COS($D$4/$J$7)*SIN(L109/$J$7)))))</f>
        <v>78.01442154465502</v>
      </c>
      <c r="I109" s="66">
        <f>69.041*$J$7*(ACOS(SIN($D$4/$J$7)*SIN(G109/$J$7)+COS($D$4/$J$7)*COS(G109/$J$7)*COS(J109/$J$7)))</f>
        <v>6575.485460056467</v>
      </c>
      <c r="J109" s="63">
        <f>+$D$3-F109</f>
        <v>101.06</v>
      </c>
      <c r="K109" s="63">
        <f>SIN($D$4/$J$7)*SIN(G109/$J$7)+COS($D$4/$J$7)*COS(G109/$J$7)*COS(J109/$J$7)</f>
        <v>-0.09133300740705307</v>
      </c>
      <c r="L109" s="63">
        <f t="shared" si="3"/>
        <v>95.2402986639311</v>
      </c>
      <c r="M109" s="67">
        <f>IF(SIN(N109/$J$7)&gt;0,$J$7*ACOS((SIN($D$4/$J$7)-SIN(G109/$J$7)*O109)/(COS(G109/$J$7)*SIN(P109/$J$7))),360-($J$7*ACOS((SIN($D$4/$J$7)-SIN(G109/$J$7)*O109)/(COS(G109/$J$7)*SIN(P109/$J$7)))))</f>
        <v>304.77904938165887</v>
      </c>
      <c r="N109" s="68">
        <f>+F109-$D$3</f>
        <v>-101.06</v>
      </c>
      <c r="O109" s="69">
        <f>SIN(G109/$J$7)*SIN($D$4/$J$7)+COS(G109/$J$7)*COS($D$4/$J$7)*COS(N109/$J$7)</f>
        <v>-0.09133300740705307</v>
      </c>
      <c r="P109" s="59">
        <f t="shared" si="5"/>
        <v>95.2402986639311</v>
      </c>
      <c r="Q109" s="38"/>
    </row>
    <row r="110" spans="1:17" ht="12" customHeight="1">
      <c r="A110" s="46">
        <f t="shared" si="4"/>
        <v>103</v>
      </c>
      <c r="B110" s="46" t="s">
        <v>244</v>
      </c>
      <c r="C110" s="46" t="s">
        <v>245</v>
      </c>
      <c r="D110" s="61" t="s">
        <v>17</v>
      </c>
      <c r="E110" s="61" t="s">
        <v>60</v>
      </c>
      <c r="F110" s="64">
        <f>-51.8</f>
        <v>-51.8</v>
      </c>
      <c r="G110" s="64">
        <v>35.8</v>
      </c>
      <c r="H110" s="65">
        <f>IF(SIN(J110/$J$7)&gt;0,$J$7*ACOS((SIN(G110/$J$7)-SIN($D$4/$J$7)*K110)/(COS($D$4/$J$7)*SIN(L110/$J$7))),360-($J$7*ACOS((SIN(G110/$J$7)-SIN($D$4/$J$7)*K110)/(COS($D$4/$J$7)*SIN(L110/$J$7)))))</f>
        <v>13.797682611189021</v>
      </c>
      <c r="I110" s="66">
        <f>69.041*$J$7*(ACOS(SIN($D$4/$J$7)*SIN(G110/$J$7)+COS($D$4/$J$7)*COS(G110/$J$7)*COS(J110/$J$7)))</f>
        <v>7527.343946874732</v>
      </c>
      <c r="J110" s="63">
        <f>+$D$3-F110</f>
        <v>163.86</v>
      </c>
      <c r="K110" s="63">
        <f>SIN($D$4/$J$7)*SIN(G110/$J$7)+COS($D$4/$J$7)*COS(G110/$J$7)*COS(J110/$J$7)</f>
        <v>-0.32601627398491</v>
      </c>
      <c r="L110" s="63">
        <f t="shared" si="3"/>
        <v>109.02715700634018</v>
      </c>
      <c r="M110" s="67">
        <f>IF(SIN(N110/$J$7)&gt;0,$J$7*ACOS((SIN($D$4/$J$7)-SIN(G110/$J$7)*O110)/(COS(G110/$J$7)*SIN(P110/$J$7))),360-($J$7*ACOS((SIN($D$4/$J$7)-SIN(G110/$J$7)*O110)/(COS(G110/$J$7)*SIN(P110/$J$7)))))</f>
        <v>345.8144260981416</v>
      </c>
      <c r="N110" s="68">
        <f>+F110-$D$3</f>
        <v>-163.86</v>
      </c>
      <c r="O110" s="69">
        <f>SIN(G110/$J$7)*SIN($D$4/$J$7)+COS(G110/$J$7)*COS($D$4/$J$7)*COS(N110/$J$7)</f>
        <v>-0.32601627398491</v>
      </c>
      <c r="P110" s="59">
        <f t="shared" si="5"/>
        <v>109.02715700634018</v>
      </c>
      <c r="Q110" s="38"/>
    </row>
    <row r="111" spans="1:17" ht="12" customHeight="1">
      <c r="A111" s="46">
        <f t="shared" si="4"/>
        <v>104</v>
      </c>
      <c r="B111" s="46" t="s">
        <v>246</v>
      </c>
      <c r="C111" s="46" t="s">
        <v>247</v>
      </c>
      <c r="D111" s="61" t="s">
        <v>13</v>
      </c>
      <c r="E111" s="61" t="s">
        <v>248</v>
      </c>
      <c r="F111" s="64">
        <f>-29</f>
        <v>-29</v>
      </c>
      <c r="G111" s="64">
        <v>47</v>
      </c>
      <c r="H111" s="65">
        <f>IF(SIN(J111/$J$7)&gt;0,$J$7*ACOS((SIN(G111/$J$7)-SIN($D$4/$J$7)*K111)/(COS($D$4/$J$7)*SIN(L111/$J$7))),360-($J$7*ACOS((SIN(G111/$J$7)-SIN($D$4/$J$7)*K111)/(COS($D$4/$J$7)*SIN(L111/$J$7)))))</f>
        <v>25.400836412401805</v>
      </c>
      <c r="I111" s="66">
        <f>69.041*$J$7*(ACOS(SIN($D$4/$J$7)*SIN(G111/$J$7)+COS($D$4/$J$7)*COS(G111/$J$7)*COS(J111/$J$7)))</f>
        <v>6363.630884242209</v>
      </c>
      <c r="J111" s="63">
        <f>+$D$3-F111</f>
        <v>141.06</v>
      </c>
      <c r="K111" s="63">
        <f>SIN($D$4/$J$7)*SIN(G111/$J$7)+COS($D$4/$J$7)*COS(G111/$J$7)*COS(J111/$J$7)</f>
        <v>-0.037895388330157986</v>
      </c>
      <c r="L111" s="63">
        <f t="shared" si="3"/>
        <v>92.17176582381785</v>
      </c>
      <c r="M111" s="67">
        <f>IF(SIN(N111/$J$7)&gt;0,$J$7*ACOS((SIN($D$4/$J$7)-SIN(G111/$J$7)*O111)/(COS(G111/$J$7)*SIN(P111/$J$7))),360-($J$7*ACOS((SIN($D$4/$J$7)-SIN(G111/$J$7)*O111)/(COS(G111/$J$7)*SIN(P111/$J$7)))))</f>
        <v>328.38721061136795</v>
      </c>
      <c r="N111" s="68">
        <f>+F111-$D$3</f>
        <v>-141.06</v>
      </c>
      <c r="O111" s="69">
        <f>SIN(G111/$J$7)*SIN($D$4/$J$7)+COS(G111/$J$7)*COS($D$4/$J$7)*COS(N111/$J$7)</f>
        <v>-0.037895388330157986</v>
      </c>
      <c r="P111" s="59">
        <f t="shared" si="5"/>
        <v>92.17176582381785</v>
      </c>
      <c r="Q111" s="38"/>
    </row>
    <row r="112" spans="1:17" ht="12" customHeight="1">
      <c r="A112" s="46">
        <f t="shared" si="4"/>
        <v>105</v>
      </c>
      <c r="B112" s="46" t="s">
        <v>249</v>
      </c>
      <c r="C112" s="46" t="s">
        <v>250</v>
      </c>
      <c r="D112" s="61" t="s">
        <v>13</v>
      </c>
      <c r="E112" s="61" t="s">
        <v>14</v>
      </c>
      <c r="F112" s="64">
        <f>-25</f>
        <v>-25</v>
      </c>
      <c r="G112" s="64">
        <v>59</v>
      </c>
      <c r="H112" s="65">
        <f>IF(SIN(J112/$J$7)&gt;0,$J$7*ACOS((SIN(G112/$J$7)-SIN($D$4/$J$7)*K112)/(COS($D$4/$J$7)*SIN(L112/$J$7))),360-($J$7*ACOS((SIN(G112/$J$7)-SIN($D$4/$J$7)*K112)/(COS($D$4/$J$7)*SIN(L112/$J$7)))))</f>
        <v>20.81859284916137</v>
      </c>
      <c r="I112" s="66">
        <f>69.041*$J$7*(ACOS(SIN($D$4/$J$7)*SIN(G112/$J$7)+COS($D$4/$J$7)*COS(G112/$J$7)*COS(J112/$J$7)))</f>
        <v>5580.051748373183</v>
      </c>
      <c r="J112" s="63">
        <f>+$D$3-F112</f>
        <v>137.06</v>
      </c>
      <c r="K112" s="63">
        <f>SIN($D$4/$J$7)*SIN(G112/$J$7)+COS($D$4/$J$7)*COS(G112/$J$7)*COS(J112/$J$7)</f>
        <v>0.1594971400312783</v>
      </c>
      <c r="L112" s="63">
        <f t="shared" si="3"/>
        <v>80.82229035461802</v>
      </c>
      <c r="M112" s="67">
        <f>IF(SIN(N112/$J$7)&gt;0,$J$7*ACOS((SIN($D$4/$J$7)-SIN(G112/$J$7)*O112)/(COS(G112/$J$7)*SIN(P112/$J$7))),360-($J$7*ACOS((SIN($D$4/$J$7)-SIN(G112/$J$7)*O112)/(COS(G112/$J$7)*SIN(P112/$J$7)))))</f>
        <v>324.8931039583028</v>
      </c>
      <c r="N112" s="68">
        <f>+F112-$D$3</f>
        <v>-137.06</v>
      </c>
      <c r="O112" s="69">
        <f>SIN(G112/$J$7)*SIN($D$4/$J$7)+COS(G112/$J$7)*COS($D$4/$J$7)*COS(N112/$J$7)</f>
        <v>0.1594971400312783</v>
      </c>
      <c r="P112" s="59">
        <f t="shared" si="5"/>
        <v>80.82229035461802</v>
      </c>
      <c r="Q112" s="38"/>
    </row>
    <row r="113" spans="1:17" ht="12" customHeight="1">
      <c r="A113" s="46">
        <f t="shared" si="4"/>
        <v>106</v>
      </c>
      <c r="B113" s="46" t="s">
        <v>251</v>
      </c>
      <c r="C113" s="46" t="s">
        <v>252</v>
      </c>
      <c r="D113" s="61" t="s">
        <v>24</v>
      </c>
      <c r="E113" s="61" t="s">
        <v>84</v>
      </c>
      <c r="F113" s="64">
        <f>-39</f>
        <v>-39</v>
      </c>
      <c r="G113" s="64">
        <v>9</v>
      </c>
      <c r="H113" s="65">
        <f>IF(SIN(J113/$J$7)&gt;0,$J$7*ACOS((SIN(G113/$J$7)-SIN($D$4/$J$7)*K113)/(COS($D$4/$J$7)*SIN(L113/$J$7))),360-($J$7*ACOS((SIN(G113/$J$7)-SIN($D$4/$J$7)*K113)/(COS($D$4/$J$7)*SIN(L113/$J$7)))))</f>
        <v>38.16692923143418</v>
      </c>
      <c r="I113" s="66">
        <f>69.041*$J$7*(ACOS(SIN($D$4/$J$7)*SIN(G113/$J$7)+COS($D$4/$J$7)*COS(G113/$J$7)*COS(J113/$J$7)))</f>
        <v>8929.65090861111</v>
      </c>
      <c r="J113" s="63">
        <f>+$D$3-F113</f>
        <v>151.06</v>
      </c>
      <c r="K113" s="63">
        <f>SIN($D$4/$J$7)*SIN(G113/$J$7)+COS($D$4/$J$7)*COS(G113/$J$7)*COS(J113/$J$7)</f>
        <v>-0.6338990568878108</v>
      </c>
      <c r="L113" s="63">
        <f t="shared" si="3"/>
        <v>129.33837732088338</v>
      </c>
      <c r="M113" s="67">
        <f>IF(SIN(N113/$J$7)&gt;0,$J$7*ACOS((SIN($D$4/$J$7)-SIN(G113/$J$7)*O113)/(COS(G113/$J$7)*SIN(P113/$J$7))),360-($J$7*ACOS((SIN($D$4/$J$7)-SIN(G113/$J$7)*O113)/(COS(G113/$J$7)*SIN(P113/$J$7)))))</f>
        <v>328.57208426617115</v>
      </c>
      <c r="N113" s="68">
        <f>+F113-$D$3</f>
        <v>-151.06</v>
      </c>
      <c r="O113" s="69">
        <f>SIN(G113/$J$7)*SIN($D$4/$J$7)+COS(G113/$J$7)*COS($D$4/$J$7)*COS(N113/$J$7)</f>
        <v>-0.6338990568878108</v>
      </c>
      <c r="P113" s="59">
        <f t="shared" si="5"/>
        <v>129.33837732088338</v>
      </c>
      <c r="Q113" s="38"/>
    </row>
    <row r="114" spans="1:17" ht="12" customHeight="1">
      <c r="A114" s="46">
        <f t="shared" si="4"/>
        <v>107</v>
      </c>
      <c r="B114" s="46" t="s">
        <v>13</v>
      </c>
      <c r="C114" s="46" t="s">
        <v>253</v>
      </c>
      <c r="D114" s="61" t="s">
        <v>13</v>
      </c>
      <c r="E114" s="61" t="s">
        <v>248</v>
      </c>
      <c r="F114" s="64">
        <f>-27.5</f>
        <v>-27.5</v>
      </c>
      <c r="G114" s="64">
        <v>54</v>
      </c>
      <c r="H114" s="65">
        <f>IF(SIN(J114/$J$7)&gt;0,$J$7*ACOS((SIN(G114/$J$7)-SIN($D$4/$J$7)*K114)/(COS($D$4/$J$7)*SIN(L114/$J$7))),360-($J$7*ACOS((SIN(G114/$J$7)-SIN($D$4/$J$7)*K114)/(COS($D$4/$J$7)*SIN(L114/$J$7)))))</f>
        <v>22.4777198555181</v>
      </c>
      <c r="I114" s="66">
        <f>69.041*$J$7*(ACOS(SIN($D$4/$J$7)*SIN(G114/$J$7)+COS($D$4/$J$7)*COS(G114/$J$7)*COS(J114/$J$7)))</f>
        <v>5919.555108238254</v>
      </c>
      <c r="J114" s="63">
        <f>+$D$3-F114</f>
        <v>139.56</v>
      </c>
      <c r="K114" s="63">
        <f>SIN($D$4/$J$7)*SIN(G114/$J$7)+COS($D$4/$J$7)*COS(G114/$J$7)*COS(J114/$J$7)</f>
        <v>0.07428764243616526</v>
      </c>
      <c r="L114" s="63">
        <f t="shared" si="3"/>
        <v>85.73970696018677</v>
      </c>
      <c r="M114" s="67">
        <f>IF(SIN(N114/$J$7)&gt;0,$J$7*ACOS((SIN($D$4/$J$7)-SIN(G114/$J$7)*O114)/(COS(G114/$J$7)*SIN(P114/$J$7))),360-($J$7*ACOS((SIN($D$4/$J$7)-SIN(G114/$J$7)*O114)/(COS(G114/$J$7)*SIN(P114/$J$7)))))</f>
        <v>327.17421529487103</v>
      </c>
      <c r="N114" s="68">
        <f>+F114-$D$3</f>
        <v>-139.56</v>
      </c>
      <c r="O114" s="69">
        <f>SIN(G114/$J$7)*SIN($D$4/$J$7)+COS(G114/$J$7)*COS($D$4/$J$7)*COS(N114/$J$7)</f>
        <v>0.07428764243616526</v>
      </c>
      <c r="P114" s="59">
        <f t="shared" si="5"/>
        <v>85.73970696018677</v>
      </c>
      <c r="Q114" s="38"/>
    </row>
    <row r="115" spans="1:17" ht="12" customHeight="1">
      <c r="A115" s="46">
        <f t="shared" si="4"/>
        <v>108</v>
      </c>
      <c r="B115" s="46" t="s">
        <v>254</v>
      </c>
      <c r="C115" s="46" t="s">
        <v>255</v>
      </c>
      <c r="D115" s="61" t="s">
        <v>17</v>
      </c>
      <c r="E115" s="61" t="s">
        <v>256</v>
      </c>
      <c r="F115" s="64">
        <f>-75</f>
        <v>-75</v>
      </c>
      <c r="G115" s="64">
        <v>42</v>
      </c>
      <c r="H115" s="65">
        <f>IF(SIN(J115/$J$7)&gt;0,$J$7*ACOS((SIN(G115/$J$7)-SIN($D$4/$J$7)*K115)/(COS($D$4/$J$7)*SIN(L115/$J$7))),360-($J$7*ACOS((SIN(G115/$J$7)-SIN($D$4/$J$7)*K115)/(COS($D$4/$J$7)*SIN(L115/$J$7)))))</f>
        <v>354.59436475270866</v>
      </c>
      <c r="I115" s="66">
        <f>69.041*$J$7*(ACOS(SIN($D$4/$J$7)*SIN(G115/$J$7)+COS($D$4/$J$7)*COS(G115/$J$7)*COS(J115/$J$7)))</f>
        <v>7192.161906881727</v>
      </c>
      <c r="J115" s="63">
        <f>+$D$3-F115</f>
        <v>187.06</v>
      </c>
      <c r="K115" s="63">
        <f>SIN($D$4/$J$7)*SIN(G115/$J$7)+COS($D$4/$J$7)*COS(G115/$J$7)*COS(J115/$J$7)</f>
        <v>-0.2448391980123824</v>
      </c>
      <c r="L115" s="63">
        <f t="shared" si="3"/>
        <v>104.17233103346892</v>
      </c>
      <c r="M115" s="67">
        <f>IF(SIN(N115/$J$7)&gt;0,$J$7*ACOS((SIN($D$4/$J$7)-SIN(G115/$J$7)*O115)/(COS(G115/$J$7)*SIN(P115/$J$7))),360-($J$7*ACOS((SIN($D$4/$J$7)-SIN(G115/$J$7)*O115)/(COS(G115/$J$7)*SIN(P115/$J$7)))))</f>
        <v>6.0645073233029985</v>
      </c>
      <c r="N115" s="68">
        <f>+F115-$D$3</f>
        <v>-187.06</v>
      </c>
      <c r="O115" s="69">
        <f>SIN(G115/$J$7)*SIN($D$4/$J$7)+COS(G115/$J$7)*COS($D$4/$J$7)*COS(N115/$J$7)</f>
        <v>-0.2448391980123824</v>
      </c>
      <c r="P115" s="59">
        <f t="shared" si="5"/>
        <v>104.17233103346892</v>
      </c>
      <c r="Q115" s="38"/>
    </row>
    <row r="116" spans="1:17" ht="12" customHeight="1">
      <c r="A116" s="46">
        <f t="shared" si="4"/>
        <v>109</v>
      </c>
      <c r="B116" s="46" t="s">
        <v>257</v>
      </c>
      <c r="C116" s="46" t="s">
        <v>258</v>
      </c>
      <c r="D116" s="61" t="s">
        <v>17</v>
      </c>
      <c r="E116" s="61" t="s">
        <v>256</v>
      </c>
      <c r="F116" s="64">
        <f>-67</f>
        <v>-67</v>
      </c>
      <c r="G116" s="64">
        <v>39.5</v>
      </c>
      <c r="H116" s="65">
        <f>IF(SIN(J116/$J$7)&gt;0,$J$7*ACOS((SIN(G116/$J$7)-SIN($D$4/$J$7)*K116)/(COS($D$4/$J$7)*SIN(L116/$J$7))),360-($J$7*ACOS((SIN(G116/$J$7)-SIN($D$4/$J$7)*K116)/(COS($D$4/$J$7)*SIN(L116/$J$7)))))</f>
        <v>0.758233773352802</v>
      </c>
      <c r="I116" s="66">
        <f>69.041*$J$7*(ACOS(SIN($D$4/$J$7)*SIN(G116/$J$7)+COS($D$4/$J$7)*COS(G116/$J$7)*COS(J116/$J$7)))</f>
        <v>7383.577064604214</v>
      </c>
      <c r="J116" s="63">
        <f>+$D$3-F116</f>
        <v>179.06</v>
      </c>
      <c r="K116" s="63">
        <f>SIN($D$4/$J$7)*SIN(G116/$J$7)+COS($D$4/$J$7)*COS(G116/$J$7)*COS(J116/$J$7)</f>
        <v>-0.2914505171064394</v>
      </c>
      <c r="L116" s="63">
        <f t="shared" si="3"/>
        <v>106.94481633528213</v>
      </c>
      <c r="M116" s="67">
        <f>IF(SIN(N116/$J$7)&gt;0,$J$7*ACOS((SIN($D$4/$J$7)-SIN(G116/$J$7)*O116)/(COS(G116/$J$7)*SIN(P116/$J$7))),360-($J$7*ACOS((SIN($D$4/$J$7)-SIN(G116/$J$7)*O116)/(COS(G116/$J$7)*SIN(P116/$J$7)))))</f>
        <v>359.1810551004644</v>
      </c>
      <c r="N116" s="68">
        <f>+F116-$D$3</f>
        <v>-179.06</v>
      </c>
      <c r="O116" s="69">
        <f>SIN(G116/$J$7)*SIN($D$4/$J$7)+COS(G116/$J$7)*COS($D$4/$J$7)*COS(N116/$J$7)</f>
        <v>-0.2914505171064394</v>
      </c>
      <c r="P116" s="59">
        <f t="shared" si="5"/>
        <v>106.94481633528213</v>
      </c>
      <c r="Q116" s="38"/>
    </row>
    <row r="117" spans="1:17" ht="12" customHeight="1">
      <c r="A117" s="46">
        <f t="shared" si="4"/>
        <v>110</v>
      </c>
      <c r="B117" s="46" t="s">
        <v>259</v>
      </c>
      <c r="C117" s="46" t="s">
        <v>260</v>
      </c>
      <c r="D117" s="61" t="s">
        <v>17</v>
      </c>
      <c r="E117" s="61" t="s">
        <v>256</v>
      </c>
      <c r="F117" s="64">
        <f>-58</f>
        <v>-58</v>
      </c>
      <c r="G117" s="64">
        <v>38</v>
      </c>
      <c r="H117" s="65">
        <f>IF(SIN(J117/$J$7)&gt;0,$J$7*ACOS((SIN(G117/$J$7)-SIN($D$4/$J$7)*K117)/(COS($D$4/$J$7)*SIN(L117/$J$7))),360-($J$7*ACOS((SIN(G117/$J$7)-SIN($D$4/$J$7)*K117)/(COS($D$4/$J$7)*SIN(L117/$J$7)))))</f>
        <v>8.216119937955073</v>
      </c>
      <c r="I117" s="66">
        <f>69.041*$J$7*(ACOS(SIN($D$4/$J$7)*SIN(G117/$J$7)+COS($D$4/$J$7)*COS(G117/$J$7)*COS(J117/$J$7)))</f>
        <v>7446.457242990625</v>
      </c>
      <c r="J117" s="63">
        <f>+$D$3-F117</f>
        <v>170.06</v>
      </c>
      <c r="K117" s="63">
        <f>SIN($D$4/$J$7)*SIN(G117/$J$7)+COS($D$4/$J$7)*COS(G117/$J$7)*COS(J117/$J$7)</f>
        <v>-0.30661881261206536</v>
      </c>
      <c r="L117" s="63">
        <f t="shared" si="3"/>
        <v>107.8555820887679</v>
      </c>
      <c r="M117" s="67">
        <f>IF(SIN(N117/$J$7)&gt;0,$J$7*ACOS((SIN($D$4/$J$7)-SIN(G117/$J$7)*O117)/(COS(G117/$J$7)*SIN(P117/$J$7))),360-($J$7*ACOS((SIN($D$4/$J$7)-SIN(G117/$J$7)*O117)/(COS(G117/$J$7)*SIN(P117/$J$7)))))</f>
        <v>351.30703022544543</v>
      </c>
      <c r="N117" s="68">
        <f>+F117-$D$3</f>
        <v>-170.06</v>
      </c>
      <c r="O117" s="69">
        <f>SIN(G117/$J$7)*SIN($D$4/$J$7)+COS(G117/$J$7)*COS($D$4/$J$7)*COS(N117/$J$7)</f>
        <v>-0.30661881261206536</v>
      </c>
      <c r="P117" s="59">
        <f t="shared" si="5"/>
        <v>107.8555820887679</v>
      </c>
      <c r="Q117" s="38"/>
    </row>
    <row r="118" spans="1:17" ht="12" customHeight="1">
      <c r="A118" s="46">
        <f t="shared" si="4"/>
        <v>111</v>
      </c>
      <c r="B118" s="46" t="s">
        <v>261</v>
      </c>
      <c r="C118" s="46" t="s">
        <v>262</v>
      </c>
      <c r="D118" s="61" t="s">
        <v>13</v>
      </c>
      <c r="E118" s="61" t="s">
        <v>21</v>
      </c>
      <c r="F118" s="64">
        <f>-2.3</f>
        <v>-2.3</v>
      </c>
      <c r="G118" s="64">
        <v>48.8</v>
      </c>
      <c r="H118" s="65">
        <f>IF(SIN(J118/$J$7)&gt;0,$J$7*ACOS((SIN(G118/$J$7)-SIN($D$4/$J$7)*K118)/(COS($D$4/$J$7)*SIN(L118/$J$7))),360-($J$7*ACOS((SIN(G118/$J$7)-SIN($D$4/$J$7)*K118)/(COS($D$4/$J$7)*SIN(L118/$J$7)))))</f>
        <v>37.66976293935721</v>
      </c>
      <c r="I118" s="66">
        <f>69.041*$J$7*(ACOS(SIN($D$4/$J$7)*SIN(G118/$J$7)+COS($D$4/$J$7)*COS(G118/$J$7)*COS(J118/$J$7)))</f>
        <v>5459.889607696083</v>
      </c>
      <c r="J118" s="63">
        <f>+$D$3-F118</f>
        <v>114.36</v>
      </c>
      <c r="K118" s="63">
        <f>SIN($D$4/$J$7)*SIN(G118/$J$7)+COS($D$4/$J$7)*COS(G118/$J$7)*COS(J118/$J$7)</f>
        <v>0.18940659451654182</v>
      </c>
      <c r="L118" s="63">
        <f t="shared" si="3"/>
        <v>79.08184423308009</v>
      </c>
      <c r="M118" s="67">
        <f>IF(SIN(N118/$J$7)&gt;0,$J$7*ACOS((SIN($D$4/$J$7)-SIN(G118/$J$7)*O118)/(COS(G118/$J$7)*SIN(P118/$J$7))),360-($J$7*ACOS((SIN($D$4/$J$7)-SIN(G118/$J$7)*O118)/(COS(G118/$J$7)*SIN(P118/$J$7)))))</f>
        <v>309.3575714599378</v>
      </c>
      <c r="N118" s="68">
        <f>+F118-$D$3</f>
        <v>-114.36</v>
      </c>
      <c r="O118" s="69">
        <f>SIN(G118/$J$7)*SIN($D$4/$J$7)+COS(G118/$J$7)*COS($D$4/$J$7)*COS(N118/$J$7)</f>
        <v>0.18940659451654182</v>
      </c>
      <c r="P118" s="59">
        <f t="shared" si="5"/>
        <v>79.08184423308009</v>
      </c>
      <c r="Q118" s="38"/>
    </row>
    <row r="119" spans="1:17" ht="12" customHeight="1">
      <c r="A119" s="46">
        <f t="shared" si="4"/>
        <v>112</v>
      </c>
      <c r="B119" s="46" t="s">
        <v>263</v>
      </c>
      <c r="C119" s="46" t="s">
        <v>264</v>
      </c>
      <c r="D119" s="61" t="s">
        <v>70</v>
      </c>
      <c r="E119" s="61" t="s">
        <v>105</v>
      </c>
      <c r="F119" s="64">
        <v>62</v>
      </c>
      <c r="G119" s="64">
        <v>17</v>
      </c>
      <c r="H119" s="65">
        <f>IF(SIN(J119/$J$7)&gt;0,$J$7*ACOS((SIN(G119/$J$7)-SIN($D$4/$J$7)*K119)/(COS($D$4/$J$7)*SIN(L119/$J$7))),360-($J$7*ACOS((SIN(G119/$J$7)-SIN($D$4/$J$7)*K119)/(COS($D$4/$J$7)*SIN(L119/$J$7)))))</f>
        <v>97.43130696148958</v>
      </c>
      <c r="I119" s="66">
        <f>69.041*$J$7*(ACOS(SIN($D$4/$J$7)*SIN(G119/$J$7)+COS($D$4/$J$7)*COS(G119/$J$7)*COS(J119/$J$7)))</f>
        <v>3292.050188760797</v>
      </c>
      <c r="J119" s="63">
        <f>+$D$3-F119</f>
        <v>50.06</v>
      </c>
      <c r="K119" s="63">
        <f>SIN($D$4/$J$7)*SIN(G119/$J$7)+COS($D$4/$J$7)*COS(G119/$J$7)*COS(J119/$J$7)</f>
        <v>0.6732378837115616</v>
      </c>
      <c r="L119" s="63">
        <f t="shared" si="3"/>
        <v>47.682539197879485</v>
      </c>
      <c r="M119" s="67">
        <f>IF(SIN(N119/$J$7)&gt;0,$J$7*ACOS((SIN($D$4/$J$7)-SIN(G119/$J$7)*O119)/(COS(G119/$J$7)*SIN(P119/$J$7))),360-($J$7*ACOS((SIN($D$4/$J$7)-SIN(G119/$J$7)*O119)/(COS(G119/$J$7)*SIN(P119/$J$7)))))</f>
        <v>300.21266050425845</v>
      </c>
      <c r="N119" s="68">
        <f>+F119-$D$3</f>
        <v>-50.06</v>
      </c>
      <c r="O119" s="69">
        <f>SIN(G119/$J$7)*SIN($D$4/$J$7)+COS(G119/$J$7)*COS($D$4/$J$7)*COS(N119/$J$7)</f>
        <v>0.6732378837115616</v>
      </c>
      <c r="P119" s="59">
        <f t="shared" si="5"/>
        <v>47.682539197879485</v>
      </c>
      <c r="Q119" s="38"/>
    </row>
    <row r="120" spans="1:17" ht="12" customHeight="1">
      <c r="A120" s="46">
        <f t="shared" si="4"/>
        <v>113</v>
      </c>
      <c r="B120" s="46" t="s">
        <v>265</v>
      </c>
      <c r="C120" s="46" t="s">
        <v>266</v>
      </c>
      <c r="D120" s="61" t="s">
        <v>24</v>
      </c>
      <c r="E120" s="61" t="s">
        <v>27</v>
      </c>
      <c r="F120" s="64">
        <f>-45.3</f>
        <v>-45.3</v>
      </c>
      <c r="G120" s="64">
        <f>-13</f>
        <v>-13</v>
      </c>
      <c r="H120" s="65">
        <f>IF(SIN(J120/$J$7)&gt;0,$J$7*ACOS((SIN(G120/$J$7)-SIN($D$4/$J$7)*K120)/(COS($D$4/$J$7)*SIN(L120/$J$7))),360-($J$7*ACOS((SIN(G120/$J$7)-SIN($D$4/$J$7)*K120)/(COS($D$4/$J$7)*SIN(L120/$J$7)))))</f>
        <v>50.46892420042063</v>
      </c>
      <c r="I120" s="66">
        <f>69.041*$J$7*(ACOS(SIN($D$4/$J$7)*SIN(G120/$J$7)+COS($D$4/$J$7)*COS(G120/$J$7)*COS(J120/$J$7)))</f>
        <v>10418.44378179147</v>
      </c>
      <c r="J120" s="63">
        <f>+$D$3-F120</f>
        <v>157.36</v>
      </c>
      <c r="K120" s="63">
        <f>SIN($D$4/$J$7)*SIN(G120/$J$7)+COS($D$4/$J$7)*COS(G120/$J$7)*COS(J120/$J$7)</f>
        <v>-0.8737915099709064</v>
      </c>
      <c r="L120" s="63">
        <f t="shared" si="3"/>
        <v>150.90227229894512</v>
      </c>
      <c r="M120" s="67">
        <f>IF(SIN(N120/$J$7)&gt;0,$J$7*ACOS((SIN($D$4/$J$7)-SIN(G120/$J$7)*O120)/(COS(G120/$J$7)*SIN(P120/$J$7))),360-($J$7*ACOS((SIN($D$4/$J$7)-SIN(G120/$J$7)*O120)/(COS(G120/$J$7)*SIN(P120/$J$7)))))</f>
        <v>318.723366515227</v>
      </c>
      <c r="N120" s="68">
        <f>+F120-$D$3</f>
        <v>-157.36</v>
      </c>
      <c r="O120" s="69">
        <f>SIN(G120/$J$7)*SIN($D$4/$J$7)+COS(G120/$J$7)*COS($D$4/$J$7)*COS(N120/$J$7)</f>
        <v>-0.8737915099709064</v>
      </c>
      <c r="P120" s="59">
        <f t="shared" si="5"/>
        <v>150.90227229894512</v>
      </c>
      <c r="Q120" s="38"/>
    </row>
    <row r="121" spans="1:17" ht="12" customHeight="1">
      <c r="A121" s="46">
        <f t="shared" si="4"/>
        <v>114</v>
      </c>
      <c r="B121" s="46" t="s">
        <v>267</v>
      </c>
      <c r="C121" s="46" t="s">
        <v>268</v>
      </c>
      <c r="D121" s="61" t="s">
        <v>37</v>
      </c>
      <c r="E121" s="61" t="s">
        <v>38</v>
      </c>
      <c r="F121" s="64">
        <f>-167</f>
        <v>-167</v>
      </c>
      <c r="G121" s="64">
        <f>-22</f>
        <v>-22</v>
      </c>
      <c r="H121" s="65">
        <f>IF(SIN(J121/$J$7)&gt;0,$J$7*ACOS((SIN(G121/$J$7)-SIN($D$4/$J$7)*K121)/(COS($D$4/$J$7)*SIN(L121/$J$7))),360-($J$7*ACOS((SIN(G121/$J$7)-SIN($D$4/$J$7)*K121)/(COS($D$4/$J$7)*SIN(L121/$J$7)))))</f>
        <v>246.77593571056678</v>
      </c>
      <c r="I121" s="66">
        <f>69.041*$J$7*(ACOS(SIN($D$4/$J$7)*SIN(G121/$J$7)+COS($D$4/$J$7)*COS(G121/$J$7)*COS(J121/$J$7)))</f>
        <v>6551.736225184466</v>
      </c>
      <c r="J121" s="63">
        <f>+$D$3-F121</f>
        <v>279.06</v>
      </c>
      <c r="K121" s="63">
        <f>SIN($D$4/$J$7)*SIN(G121/$J$7)+COS($D$4/$J$7)*COS(G121/$J$7)*COS(J121/$J$7)</f>
        <v>-0.0853527774641081</v>
      </c>
      <c r="L121" s="63">
        <f t="shared" si="3"/>
        <v>94.8963112525089</v>
      </c>
      <c r="M121" s="67">
        <f>IF(SIN(N121/$J$7)&gt;0,$J$7*ACOS((SIN($D$4/$J$7)-SIN(G121/$J$7)*O121)/(COS(G121/$J$7)*SIN(P121/$J$7))),360-($J$7*ACOS((SIN($D$4/$J$7)-SIN(G121/$J$7)*O121)/(COS(G121/$J$7)*SIN(P121/$J$7)))))</f>
        <v>55.69210198270518</v>
      </c>
      <c r="N121" s="68">
        <f>+F121-$D$3</f>
        <v>-279.06</v>
      </c>
      <c r="O121" s="69">
        <f>SIN(G121/$J$7)*SIN($D$4/$J$7)+COS(G121/$J$7)*COS($D$4/$J$7)*COS(N121/$J$7)</f>
        <v>-0.0853527774641081</v>
      </c>
      <c r="P121" s="59">
        <f t="shared" si="5"/>
        <v>94.8963112525089</v>
      </c>
      <c r="Q121" s="38"/>
    </row>
    <row r="122" spans="1:17" ht="12" customHeight="1">
      <c r="A122" s="46">
        <f t="shared" si="4"/>
        <v>115</v>
      </c>
      <c r="B122" s="46" t="s">
        <v>269</v>
      </c>
      <c r="C122" s="46" t="s">
        <v>270</v>
      </c>
      <c r="D122" s="61" t="s">
        <v>70</v>
      </c>
      <c r="E122" s="61" t="s">
        <v>105</v>
      </c>
      <c r="F122" s="64">
        <v>61</v>
      </c>
      <c r="G122" s="64">
        <v>15</v>
      </c>
      <c r="H122" s="65">
        <f>IF(SIN(J122/$J$7)&gt;0,$J$7*ACOS((SIN(G122/$J$7)-SIN($D$4/$J$7)*K122)/(COS($D$4/$J$7)*SIN(L122/$J$7))),360-($J$7*ACOS((SIN(G122/$J$7)-SIN($D$4/$J$7)*K122)/(COS($D$4/$J$7)*SIN(L122/$J$7)))))</f>
        <v>99.06114564761566</v>
      </c>
      <c r="I122" s="66">
        <f>69.041*$J$7*(ACOS(SIN($D$4/$J$7)*SIN(G122/$J$7)+COS($D$4/$J$7)*COS(G122/$J$7)*COS(J122/$J$7)))</f>
        <v>3419.903617205106</v>
      </c>
      <c r="J122" s="63">
        <f>+$D$3-F122</f>
        <v>51.06</v>
      </c>
      <c r="K122" s="63">
        <f>SIN($D$4/$J$7)*SIN(G122/$J$7)+COS($D$4/$J$7)*COS(G122/$J$7)*COS(J122/$J$7)</f>
        <v>0.6489915604697557</v>
      </c>
      <c r="L122" s="63">
        <f t="shared" si="3"/>
        <v>49.534387062833765</v>
      </c>
      <c r="M122" s="67">
        <f>IF(SIN(N122/$J$7)&gt;0,$J$7*ACOS((SIN($D$4/$J$7)-SIN(G122/$J$7)*O122)/(COS(G122/$J$7)*SIN(P122/$J$7))),360-($J$7*ACOS((SIN($D$4/$J$7)-SIN(G122/$J$7)*O122)/(COS(G122/$J$7)*SIN(P122/$J$7)))))</f>
        <v>301.56617901102175</v>
      </c>
      <c r="N122" s="68">
        <f>+F122-$D$3</f>
        <v>-51.06</v>
      </c>
      <c r="O122" s="69">
        <f>SIN(G122/$J$7)*SIN($D$4/$J$7)+COS(G122/$J$7)*COS($D$4/$J$7)*COS(N122/$J$7)</f>
        <v>0.6489915604697557</v>
      </c>
      <c r="P122" s="59">
        <f t="shared" si="5"/>
        <v>49.534387062833765</v>
      </c>
      <c r="Q122" s="38"/>
    </row>
    <row r="123" spans="1:17" ht="12" customHeight="1">
      <c r="A123" s="46">
        <f t="shared" si="4"/>
        <v>116</v>
      </c>
      <c r="B123" s="46" t="s">
        <v>271</v>
      </c>
      <c r="C123" s="46" t="s">
        <v>272</v>
      </c>
      <c r="D123" s="61" t="s">
        <v>37</v>
      </c>
      <c r="E123" s="61" t="s">
        <v>38</v>
      </c>
      <c r="F123" s="64">
        <v>150</v>
      </c>
      <c r="G123" s="64">
        <f>-18</f>
        <v>-18</v>
      </c>
      <c r="H123" s="65">
        <f>IF(SIN(J123/$J$7)&gt;0,$J$7*ACOS((SIN(G123/$J$7)-SIN($D$4/$J$7)*K123)/(COS($D$4/$J$7)*SIN(L123/$J$7))),360-($J$7*ACOS((SIN(G123/$J$7)-SIN($D$4/$J$7)*K123)/(COS($D$4/$J$7)*SIN(L123/$J$7)))))</f>
        <v>221.02555831121103</v>
      </c>
      <c r="I123" s="66">
        <f>69.041*$J$7*(ACOS(SIN($D$4/$J$7)*SIN(G123/$J$7)+COS($D$4/$J$7)*COS(G123/$J$7)*COS(J123/$J$7)))</f>
        <v>4348.135814983425</v>
      </c>
      <c r="J123" s="63">
        <f>+$D$3-F123</f>
        <v>-37.94</v>
      </c>
      <c r="K123" s="63">
        <f>SIN($D$4/$J$7)*SIN(G123/$J$7)+COS($D$4/$J$7)*COS(G123/$J$7)*COS(J123/$J$7)</f>
        <v>0.4543164375522576</v>
      </c>
      <c r="L123" s="63">
        <f t="shared" si="3"/>
        <v>62.97903875933757</v>
      </c>
      <c r="M123" s="67">
        <f>IF(SIN(N123/$J$7)&gt;0,$J$7*ACOS((SIN($D$4/$J$7)-SIN(G123/$J$7)*O123)/(COS(G123/$J$7)*SIN(P123/$J$7))),360-($J$7*ACOS((SIN($D$4/$J$7)-SIN(G123/$J$7)*O123)/(COS(G123/$J$7)*SIN(P123/$J$7)))))</f>
        <v>35.11326609528685</v>
      </c>
      <c r="N123" s="68">
        <f>+F123-$D$3</f>
        <v>37.94</v>
      </c>
      <c r="O123" s="69">
        <f>SIN(G123/$J$7)*SIN($D$4/$J$7)+COS(G123/$J$7)*COS($D$4/$J$7)*COS(N123/$J$7)</f>
        <v>0.4543164375522576</v>
      </c>
      <c r="P123" s="59">
        <f t="shared" si="5"/>
        <v>62.97903875933757</v>
      </c>
      <c r="Q123" s="38"/>
    </row>
    <row r="124" spans="1:17" ht="12" customHeight="1">
      <c r="A124" s="46">
        <f t="shared" si="4"/>
        <v>117</v>
      </c>
      <c r="B124" s="46" t="s">
        <v>721</v>
      </c>
      <c r="C124" s="46" t="s">
        <v>723</v>
      </c>
      <c r="D124" s="61" t="s">
        <v>37</v>
      </c>
      <c r="E124" s="61" t="s">
        <v>38</v>
      </c>
      <c r="F124" s="64">
        <v>151.37</v>
      </c>
      <c r="G124" s="64">
        <v>-22.43</v>
      </c>
      <c r="H124" s="65">
        <f>IF(SIN(J124/$J$7)&gt;0,$J$7*ACOS((SIN(G124/$J$7)-SIN($D$4/$J$7)*K124)/(COS($D$4/$J$7)*SIN(L124/$J$7))),360-($J$7*ACOS((SIN(G124/$J$7)-SIN($D$4/$J$7)*K124)/(COS($D$4/$J$7)*SIN(L124/$J$7)))))</f>
        <v>219.38641738004722</v>
      </c>
      <c r="I124" s="66">
        <f>69.041*$J$7*(ACOS(SIN($D$4/$J$7)*SIN(G124/$J$7)+COS($D$4/$J$7)*COS(G124/$J$7)*COS(J124/$J$7)))</f>
        <v>4649.597584686912</v>
      </c>
      <c r="J124" s="63">
        <f>+$D$3-F124</f>
        <v>-39.31</v>
      </c>
      <c r="K124" s="63">
        <f>SIN($D$4/$J$7)*SIN(G124/$J$7)+COS($D$4/$J$7)*COS(G124/$J$7)*COS(J124/$J$7)</f>
        <v>0.38517402906090603</v>
      </c>
      <c r="L124" s="63">
        <f t="shared" si="3"/>
        <v>67.34545537705006</v>
      </c>
      <c r="M124" s="67">
        <f>IF(SIN(N124/$J$7)&gt;0,$J$7*ACOS((SIN($D$4/$J$7)-SIN(G124/$J$7)*O124)/(COS(G124/$J$7)*SIN(P124/$J$7))),360-($J$7*ACOS((SIN($D$4/$J$7)-SIN(G124/$J$7)*O124)/(COS(G124/$J$7)*SIN(P124/$J$7)))))</f>
        <v>34.89797484957637</v>
      </c>
      <c r="N124" s="68">
        <f>+F124-$D$3</f>
        <v>39.31</v>
      </c>
      <c r="O124" s="69">
        <f>SIN(G124/$J$7)*SIN($D$4/$J$7)+COS(G124/$J$7)*COS($D$4/$J$7)*COS(N124/$J$7)</f>
        <v>0.38517402906090603</v>
      </c>
      <c r="P124" s="59">
        <f t="shared" si="5"/>
        <v>67.34545537705006</v>
      </c>
      <c r="Q124" s="38"/>
    </row>
    <row r="125" spans="1:17" ht="12" customHeight="1">
      <c r="A125" s="46">
        <f t="shared" si="4"/>
        <v>118</v>
      </c>
      <c r="B125" s="46" t="s">
        <v>722</v>
      </c>
      <c r="C125" s="46" t="s">
        <v>724</v>
      </c>
      <c r="D125" s="61" t="s">
        <v>37</v>
      </c>
      <c r="E125" s="61">
        <v>31</v>
      </c>
      <c r="F125" s="64">
        <v>140.08</v>
      </c>
      <c r="G125" s="64">
        <v>-8.93</v>
      </c>
      <c r="H125" s="65">
        <f>IF(SIN(J125/$J$7)&gt;0,$J$7*ACOS((SIN(G125/$J$7)-SIN($D$4/$J$7)*K125)/(COS($D$4/$J$7)*SIN(L125/$J$7))),360-($J$7*ACOS((SIN(G125/$J$7)-SIN($D$4/$J$7)*K125)/(COS($D$4/$J$7)*SIN(L125/$J$7)))))</f>
        <v>217.20330443020114</v>
      </c>
      <c r="I125" s="66">
        <f>69.041*$J$7*(ACOS(SIN($D$4/$J$7)*SIN(G125/$J$7)+COS($D$4/$J$7)*COS(G125/$J$7)*COS(J125/$J$7)))</f>
        <v>3461.2272442790927</v>
      </c>
      <c r="J125" s="63">
        <f>+$D$3-F125</f>
        <v>-28.02000000000001</v>
      </c>
      <c r="K125" s="63">
        <f>SIN($D$4/$J$7)*SIN(G125/$J$7)+COS($D$4/$J$7)*COS(G125/$J$7)*COS(J125/$J$7)</f>
        <v>0.6410086804384171</v>
      </c>
      <c r="L125" s="63">
        <f t="shared" si="3"/>
        <v>50.13292455612017</v>
      </c>
      <c r="M125" s="67">
        <f>IF(SIN(N125/$J$7)&gt;0,$J$7*ACOS((SIN($D$4/$J$7)-SIN(G125/$J$7)*O125)/(COS(G125/$J$7)*SIN(P125/$J$7))),360-($J$7*ACOS((SIN($D$4/$J$7)-SIN(G125/$J$7)*O125)/(COS(G125/$J$7)*SIN(P125/$J$7)))))</f>
        <v>30.670260068308163</v>
      </c>
      <c r="N125" s="68">
        <f>+F125-$D$3</f>
        <v>28.02000000000001</v>
      </c>
      <c r="O125" s="69">
        <f>SIN(G125/$J$7)*SIN($D$4/$J$7)+COS(G125/$J$7)*COS($D$4/$J$7)*COS(N125/$J$7)</f>
        <v>0.6410086804384171</v>
      </c>
      <c r="P125" s="59">
        <f t="shared" si="5"/>
        <v>50.13292455612017</v>
      </c>
      <c r="Q125" s="38"/>
    </row>
    <row r="126" spans="1:17" ht="12" customHeight="1">
      <c r="A126" s="46">
        <f t="shared" si="4"/>
        <v>119</v>
      </c>
      <c r="B126" s="46" t="s">
        <v>273</v>
      </c>
      <c r="C126" s="46" t="s">
        <v>274</v>
      </c>
      <c r="D126" s="61" t="s">
        <v>70</v>
      </c>
      <c r="E126" s="61" t="s">
        <v>275</v>
      </c>
      <c r="F126" s="64">
        <v>110</v>
      </c>
      <c r="G126" s="64">
        <v>11</v>
      </c>
      <c r="H126" s="65">
        <f>IF(SIN(J126/$J$7)&gt;0,$J$7*ACOS((SIN(G126/$J$7)-SIN($D$4/$J$7)*K126)/(COS($D$4/$J$7)*SIN(L126/$J$7))),360-($J$7*ACOS((SIN(G126/$J$7)-SIN($D$4/$J$7)*K126)/(COS($D$4/$J$7)*SIN(L126/$J$7)))))</f>
        <v>174.7381241443917</v>
      </c>
      <c r="I126" s="66">
        <f>69.041*$J$7*(ACOS(SIN($D$4/$J$7)*SIN(G126/$J$7)+COS($D$4/$J$7)*COS(G126/$J$7)*COS(J126/$J$7)))</f>
        <v>1562.3192208091048</v>
      </c>
      <c r="J126" s="63">
        <f>+$D$3-F126</f>
        <v>2.0600000000000023</v>
      </c>
      <c r="K126" s="63">
        <f>SIN($D$4/$J$7)*SIN(G126/$J$7)+COS($D$4/$J$7)*COS(G126/$J$7)*COS(J126/$J$7)</f>
        <v>0.9230165201853756</v>
      </c>
      <c r="L126" s="63">
        <f t="shared" si="3"/>
        <v>22.628861412915587</v>
      </c>
      <c r="M126" s="67">
        <f>IF(SIN(N126/$J$7)&gt;0,$J$7*ACOS((SIN($D$4/$J$7)-SIN(G126/$J$7)*O126)/(COS(G126/$J$7)*SIN(P126/$J$7))),360-($J$7*ACOS((SIN($D$4/$J$7)-SIN(G126/$J$7)*O126)/(COS(G126/$J$7)*SIN(P126/$J$7)))))</f>
        <v>355.53441200077225</v>
      </c>
      <c r="N126" s="68">
        <f>+F126-$D$3</f>
        <v>-2.0600000000000023</v>
      </c>
      <c r="O126" s="69">
        <f>SIN(G126/$J$7)*SIN($D$4/$J$7)+COS(G126/$J$7)*COS($D$4/$J$7)*COS(N126/$J$7)</f>
        <v>0.9230165201853756</v>
      </c>
      <c r="P126" s="59">
        <f t="shared" si="5"/>
        <v>22.628861412915587</v>
      </c>
      <c r="Q126" s="38"/>
    </row>
    <row r="127" spans="1:17" ht="12" customHeight="1">
      <c r="A127" s="46">
        <f t="shared" si="4"/>
        <v>120</v>
      </c>
      <c r="B127" s="46" t="s">
        <v>276</v>
      </c>
      <c r="C127" s="46" t="s">
        <v>277</v>
      </c>
      <c r="D127" s="61" t="s">
        <v>70</v>
      </c>
      <c r="E127" s="61" t="s">
        <v>71</v>
      </c>
      <c r="F127" s="64">
        <v>56.5</v>
      </c>
      <c r="G127" s="64">
        <v>47</v>
      </c>
      <c r="H127" s="65">
        <f>IF(SIN(J127/$J$7)&gt;0,$J$7*ACOS((SIN(G127/$J$7)-SIN($D$4/$J$7)*K127)/(COS($D$4/$J$7)*SIN(L127/$J$7))),360-($J$7*ACOS((SIN(G127/$J$7)-SIN($D$4/$J$7)*K127)/(COS($D$4/$J$7)*SIN(L127/$J$7)))))</f>
        <v>54.82851291736122</v>
      </c>
      <c r="I127" s="66">
        <f>69.041*$J$7*(ACOS(SIN($D$4/$J$7)*SIN(G127/$J$7)+COS($D$4/$J$7)*COS(G127/$J$7)*COS(J127/$J$7)))</f>
        <v>3001.776709910255</v>
      </c>
      <c r="J127" s="63">
        <f>+$D$3-F127</f>
        <v>55.56</v>
      </c>
      <c r="K127" s="63">
        <f>SIN($D$4/$J$7)*SIN(G127/$J$7)+COS($D$4/$J$7)*COS(G127/$J$7)*COS(J127/$J$7)</f>
        <v>0.7256365199317552</v>
      </c>
      <c r="L127" s="63">
        <f t="shared" si="3"/>
        <v>43.4781754306898</v>
      </c>
      <c r="M127" s="67">
        <f>IF(SIN(N127/$J$7)&gt;0,$J$7*ACOS((SIN($D$4/$J$7)-SIN(G127/$J$7)*O127)/(COS(G127/$J$7)*SIN(P127/$J$7))),360-($J$7*ACOS((SIN($D$4/$J$7)-SIN(G127/$J$7)*O127)/(COS(G127/$J$7)*SIN(P127/$J$7)))))</f>
        <v>272.6831275668029</v>
      </c>
      <c r="N127" s="68">
        <f>+F127-$D$3</f>
        <v>-55.56</v>
      </c>
      <c r="O127" s="69">
        <f>SIN(G127/$J$7)*SIN($D$4/$J$7)+COS(G127/$J$7)*COS($D$4/$J$7)*COS(N127/$J$7)</f>
        <v>0.7256365199317552</v>
      </c>
      <c r="P127" s="59">
        <f t="shared" si="5"/>
        <v>43.4781754306898</v>
      </c>
      <c r="Q127" s="38"/>
    </row>
    <row r="128" spans="1:17" ht="12" customHeight="1">
      <c r="A128" s="46">
        <f t="shared" si="4"/>
        <v>121</v>
      </c>
      <c r="B128" s="46" t="s">
        <v>278</v>
      </c>
      <c r="C128" s="46" t="s">
        <v>279</v>
      </c>
      <c r="D128" s="61" t="s">
        <v>24</v>
      </c>
      <c r="E128" s="61" t="s">
        <v>27</v>
      </c>
      <c r="F128" s="64">
        <f>-55.5</f>
        <v>-55.5</v>
      </c>
      <c r="G128" s="64">
        <f>-21</f>
        <v>-21</v>
      </c>
      <c r="H128" s="65">
        <f>IF(SIN(J128/$J$7)&gt;0,$J$7*ACOS((SIN(G128/$J$7)-SIN($D$4/$J$7)*K128)/(COS($D$4/$J$7)*SIN(L128/$J$7))),360-($J$7*ACOS((SIN(G128/$J$7)-SIN($D$4/$J$7)*K128)/(COS($D$4/$J$7)*SIN(L128/$J$7)))))</f>
        <v>44.42623433904273</v>
      </c>
      <c r="I128" s="66">
        <f>69.041*$J$7*(ACOS(SIN($D$4/$J$7)*SIN(G128/$J$7)+COS($D$4/$J$7)*COS(G128/$J$7)*COS(J128/$J$7)))</f>
        <v>11274.633656954458</v>
      </c>
      <c r="J128" s="63">
        <f>+$D$3-F128</f>
        <v>167.56</v>
      </c>
      <c r="K128" s="63">
        <f>SIN($D$4/$J$7)*SIN(G128/$J$7)+COS($D$4/$J$7)*COS(G128/$J$7)*COS(J128/$J$7)</f>
        <v>-0.9578398082152175</v>
      </c>
      <c r="L128" s="63">
        <f t="shared" si="3"/>
        <v>163.30345239719094</v>
      </c>
      <c r="M128" s="67">
        <f>IF(SIN(N128/$J$7)&gt;0,$J$7*ACOS((SIN($D$4/$J$7)-SIN(G128/$J$7)*O128)/(COS(G128/$J$7)*SIN(P128/$J$7))),360-($J$7*ACOS((SIN($D$4/$J$7)-SIN(G128/$J$7)*O128)/(COS(G128/$J$7)*SIN(P128/$J$7)))))</f>
        <v>321.3267012696292</v>
      </c>
      <c r="N128" s="68">
        <f>+F128-$D$3</f>
        <v>-167.56</v>
      </c>
      <c r="O128" s="69">
        <f>SIN(G128/$J$7)*SIN($D$4/$J$7)+COS(G128/$J$7)*COS($D$4/$J$7)*COS(N128/$J$7)</f>
        <v>-0.9578398082152175</v>
      </c>
      <c r="P128" s="59">
        <f t="shared" si="5"/>
        <v>163.30345239719094</v>
      </c>
      <c r="Q128" s="38"/>
    </row>
    <row r="129" spans="1:17" ht="12" customHeight="1">
      <c r="A129" s="46">
        <f t="shared" si="4"/>
        <v>122</v>
      </c>
      <c r="B129" s="46" t="s">
        <v>280</v>
      </c>
      <c r="C129" s="46" t="s">
        <v>281</v>
      </c>
      <c r="D129" s="61" t="s">
        <v>24</v>
      </c>
      <c r="E129" s="61" t="s">
        <v>27</v>
      </c>
      <c r="F129" s="64">
        <f>-47.3</f>
        <v>-47.3</v>
      </c>
      <c r="G129" s="64">
        <f>-10.6</f>
        <v>-10.6</v>
      </c>
      <c r="H129" s="65">
        <f>IF(SIN(J129/$J$7)&gt;0,$J$7*ACOS((SIN(G129/$J$7)-SIN($D$4/$J$7)*K129)/(COS($D$4/$J$7)*SIN(L129/$J$7))),360-($J$7*ACOS((SIN(G129/$J$7)-SIN($D$4/$J$7)*K129)/(COS($D$4/$J$7)*SIN(L129/$J$7)))))</f>
        <v>44.29931960533774</v>
      </c>
      <c r="I129" s="66">
        <f>69.041*$J$7*(ACOS(SIN($D$4/$J$7)*SIN(G129/$J$7)+COS($D$4/$J$7)*COS(G129/$J$7)*COS(J129/$J$7)))</f>
        <v>10373.939463772398</v>
      </c>
      <c r="J129" s="63">
        <f>+$D$3-F129</f>
        <v>159.36</v>
      </c>
      <c r="K129" s="63">
        <f>SIN($D$4/$J$7)*SIN(G129/$J$7)+COS($D$4/$J$7)*COS(G129/$J$7)*COS(J129/$J$7)</f>
        <v>-0.868265192128676</v>
      </c>
      <c r="L129" s="63">
        <f t="shared" si="3"/>
        <v>150.2576652101273</v>
      </c>
      <c r="M129" s="67">
        <f>IF(SIN(N129/$J$7)&gt;0,$J$7*ACOS((SIN($D$4/$J$7)-SIN(G129/$J$7)*O129)/(COS(G129/$J$7)*SIN(P129/$J$7))),360-($J$7*ACOS((SIN($D$4/$J$7)-SIN(G129/$J$7)*O129)/(COS(G129/$J$7)*SIN(P129/$J$7)))))</f>
        <v>323.6895680516919</v>
      </c>
      <c r="N129" s="68">
        <f>+F129-$D$3</f>
        <v>-159.36</v>
      </c>
      <c r="O129" s="69">
        <f>SIN(G129/$J$7)*SIN($D$4/$J$7)+COS(G129/$J$7)*COS($D$4/$J$7)*COS(N129/$J$7)</f>
        <v>-0.868265192128676</v>
      </c>
      <c r="P129" s="59">
        <f t="shared" si="5"/>
        <v>150.2576652101273</v>
      </c>
      <c r="Q129" s="38"/>
    </row>
    <row r="130" spans="1:17" ht="12" customHeight="1">
      <c r="A130" s="46">
        <f t="shared" si="4"/>
        <v>123</v>
      </c>
      <c r="B130" s="46" t="s">
        <v>282</v>
      </c>
      <c r="C130" s="46" t="s">
        <v>283</v>
      </c>
      <c r="D130" s="61" t="s">
        <v>24</v>
      </c>
      <c r="E130" s="61" t="s">
        <v>27</v>
      </c>
      <c r="F130" s="64">
        <f>-40</f>
        <v>-40</v>
      </c>
      <c r="G130" s="64">
        <f>-21.5</f>
        <v>-21.5</v>
      </c>
      <c r="H130" s="65">
        <f>IF(SIN(J130/$J$7)&gt;0,$J$7*ACOS((SIN(G130/$J$7)-SIN($D$4/$J$7)*K130)/(COS($D$4/$J$7)*SIN(L130/$J$7))),360-($J$7*ACOS((SIN(G130/$J$7)-SIN($D$4/$J$7)*K130)/(COS($D$4/$J$7)*SIN(L130/$J$7)))))</f>
        <v>71.15043872463309</v>
      </c>
      <c r="I130" s="66">
        <f>69.041*$J$7*(ACOS(SIN($D$4/$J$7)*SIN(G130/$J$7)+COS($D$4/$J$7)*COS(G130/$J$7)*COS(J130/$J$7)))</f>
        <v>10533.65666202156</v>
      </c>
      <c r="J130" s="63">
        <f>+$D$3-F130</f>
        <v>152.06</v>
      </c>
      <c r="K130" s="63">
        <f>SIN($D$4/$J$7)*SIN(G130/$J$7)+COS($D$4/$J$7)*COS(G130/$J$7)*COS(J130/$J$7)</f>
        <v>-0.8875826055141821</v>
      </c>
      <c r="L130" s="63">
        <f t="shared" si="3"/>
        <v>152.57103260412742</v>
      </c>
      <c r="M130" s="67">
        <f>IF(SIN(N130/$J$7)&gt;0,$J$7*ACOS((SIN($D$4/$J$7)-SIN(G130/$J$7)*O130)/(COS(G130/$J$7)*SIN(P130/$J$7))),360-($J$7*ACOS((SIN($D$4/$J$7)-SIN(G130/$J$7)*O130)/(COS(G130/$J$7)*SIN(P130/$J$7)))))</f>
        <v>302.03836600015035</v>
      </c>
      <c r="N130" s="68">
        <f>+F130-$D$3</f>
        <v>-152.06</v>
      </c>
      <c r="O130" s="69">
        <f>SIN(G130/$J$7)*SIN($D$4/$J$7)+COS(G130/$J$7)*COS($D$4/$J$7)*COS(N130/$J$7)</f>
        <v>-0.8875826055141821</v>
      </c>
      <c r="P130" s="59">
        <f t="shared" si="5"/>
        <v>152.57103260412742</v>
      </c>
      <c r="Q130" s="38"/>
    </row>
    <row r="131" spans="1:17" ht="12" customHeight="1">
      <c r="A131" s="46">
        <f t="shared" si="4"/>
        <v>124</v>
      </c>
      <c r="B131" s="46" t="s">
        <v>284</v>
      </c>
      <c r="C131" s="46" t="s">
        <v>285</v>
      </c>
      <c r="D131" s="61" t="s">
        <v>24</v>
      </c>
      <c r="E131" s="61" t="s">
        <v>27</v>
      </c>
      <c r="F131" s="64">
        <f>-54.5</f>
        <v>-54.5</v>
      </c>
      <c r="G131" s="64">
        <f>-15.5</f>
        <v>-15.5</v>
      </c>
      <c r="H131" s="65">
        <f>IF(SIN(J131/$J$7)&gt;0,$J$7*ACOS((SIN(G131/$J$7)-SIN($D$4/$J$7)*K131)/(COS($D$4/$J$7)*SIN(L131/$J$7))),360-($J$7*ACOS((SIN(G131/$J$7)-SIN($D$4/$J$7)*K131)/(COS($D$4/$J$7)*SIN(L131/$J$7)))))</f>
        <v>37.18247576143783</v>
      </c>
      <c r="I131" s="66">
        <f>69.041*$J$7*(ACOS(SIN($D$4/$J$7)*SIN(G131/$J$7)+COS($D$4/$J$7)*COS(G131/$J$7)*COS(J131/$J$7)))</f>
        <v>10925.559976992194</v>
      </c>
      <c r="J131" s="63">
        <f>+$D$3-F131</f>
        <v>166.56</v>
      </c>
      <c r="K131" s="63">
        <f>SIN($D$4/$J$7)*SIN(G131/$J$7)+COS($D$4/$J$7)*COS(G131/$J$7)*COS(J131/$J$7)</f>
        <v>-0.9287928521229171</v>
      </c>
      <c r="L131" s="63">
        <f t="shared" si="3"/>
        <v>158.2474178675308</v>
      </c>
      <c r="M131" s="67">
        <f>IF(SIN(N131/$J$7)&gt;0,$J$7*ACOS((SIN($D$4/$J$7)-SIN(G131/$J$7)*O131)/(COS(G131/$J$7)*SIN(P131/$J$7))),360-($J$7*ACOS((SIN($D$4/$J$7)-SIN(G131/$J$7)*O131)/(COS(G131/$J$7)*SIN(P131/$J$7)))))</f>
        <v>328.48768129154206</v>
      </c>
      <c r="N131" s="68">
        <f>+F131-$D$3</f>
        <v>-166.56</v>
      </c>
      <c r="O131" s="69">
        <f>SIN(G131/$J$7)*SIN($D$4/$J$7)+COS(G131/$J$7)*COS($D$4/$J$7)*COS(N131/$J$7)</f>
        <v>-0.9287928521229171</v>
      </c>
      <c r="P131" s="59">
        <f t="shared" si="5"/>
        <v>158.2474178675308</v>
      </c>
      <c r="Q131" s="38"/>
    </row>
    <row r="132" spans="1:17" ht="12" customHeight="1">
      <c r="A132" s="46">
        <f t="shared" si="4"/>
        <v>125</v>
      </c>
      <c r="B132" s="46" t="s">
        <v>286</v>
      </c>
      <c r="C132" s="46" t="s">
        <v>287</v>
      </c>
      <c r="D132" s="61" t="s">
        <v>70</v>
      </c>
      <c r="E132" s="61" t="s">
        <v>105</v>
      </c>
      <c r="F132" s="64">
        <v>63</v>
      </c>
      <c r="G132" s="64">
        <v>18</v>
      </c>
      <c r="H132" s="65">
        <f>IF(SIN(J132/$J$7)&gt;0,$J$7*ACOS((SIN(G132/$J$7)-SIN($D$4/$J$7)*K132)/(COS($D$4/$J$7)*SIN(L132/$J$7))),360-($J$7*ACOS((SIN(G132/$J$7)-SIN($D$4/$J$7)*K132)/(COS($D$4/$J$7)*SIN(L132/$J$7)))))</f>
        <v>96.89560636442775</v>
      </c>
      <c r="I132" s="66">
        <f>69.041*$J$7*(ACOS(SIN($D$4/$J$7)*SIN(G132/$J$7)+COS($D$4/$J$7)*COS(G132/$J$7)*COS(J132/$J$7)))</f>
        <v>3200.5618077133563</v>
      </c>
      <c r="J132" s="63">
        <f>+$D$3-F132</f>
        <v>49.06</v>
      </c>
      <c r="K132" s="63">
        <f>SIN($D$4/$J$7)*SIN(G132/$J$7)+COS($D$4/$J$7)*COS(G132/$J$7)*COS(J132/$J$7)</f>
        <v>0.6901576808775488</v>
      </c>
      <c r="L132" s="63">
        <f t="shared" si="3"/>
        <v>46.35740802875619</v>
      </c>
      <c r="M132" s="67">
        <f>IF(SIN(N132/$J$7)&gt;0,$J$7*ACOS((SIN($D$4/$J$7)-SIN(G132/$J$7)*O132)/(COS(G132/$J$7)*SIN(P132/$J$7))),360-($J$7*ACOS((SIN($D$4/$J$7)-SIN(G132/$J$7)*O132)/(COS(G132/$J$7)*SIN(P132/$J$7)))))</f>
        <v>299.5467001391433</v>
      </c>
      <c r="N132" s="68">
        <f>+F132-$D$3</f>
        <v>-49.06</v>
      </c>
      <c r="O132" s="69">
        <f>SIN(G132/$J$7)*SIN($D$4/$J$7)+COS(G132/$J$7)*COS($D$4/$J$7)*COS(N132/$J$7)</f>
        <v>0.6901576808775488</v>
      </c>
      <c r="P132" s="59">
        <f t="shared" si="5"/>
        <v>46.35740802875619</v>
      </c>
      <c r="Q132" s="38"/>
    </row>
    <row r="133" spans="1:17" ht="12" customHeight="1">
      <c r="A133" s="46">
        <f t="shared" si="4"/>
        <v>126</v>
      </c>
      <c r="B133" s="46" t="s">
        <v>288</v>
      </c>
      <c r="C133" s="46" t="s">
        <v>289</v>
      </c>
      <c r="D133" s="61" t="s">
        <v>24</v>
      </c>
      <c r="E133" s="61" t="s">
        <v>27</v>
      </c>
      <c r="F133" s="64">
        <f>-52</f>
        <v>-52</v>
      </c>
      <c r="G133" s="64">
        <f>-46.5</f>
        <v>-46.5</v>
      </c>
      <c r="H133" s="65">
        <f>IF(SIN(J133/$J$7)&gt;0,$J$7*ACOS((SIN(G133/$J$7)-SIN($D$4/$J$7)*K133)/(COS($D$4/$J$7)*SIN(L133/$J$7))),360-($J$7*ACOS((SIN(G133/$J$7)-SIN($D$4/$J$7)*K133)/(COS($D$4/$J$7)*SIN(L133/$J$7)))))</f>
        <v>141.62513527430292</v>
      </c>
      <c r="I133" s="66">
        <f>69.041*$J$7*(ACOS(SIN($D$4/$J$7)*SIN(G133/$J$7)+COS($D$4/$J$7)*COS(G133/$J$7)*COS(J133/$J$7)))</f>
        <v>11203.358947777091</v>
      </c>
      <c r="J133" s="63">
        <f>+$D$3-F133</f>
        <v>164.06</v>
      </c>
      <c r="K133" s="63">
        <f>SIN($D$4/$J$7)*SIN(G133/$J$7)+COS($D$4/$J$7)*COS(G133/$J$7)*COS(J133/$J$7)</f>
        <v>-0.9525080005670494</v>
      </c>
      <c r="L133" s="63">
        <f t="shared" si="3"/>
        <v>162.27109902488507</v>
      </c>
      <c r="M133" s="67">
        <f>IF(SIN(N133/$J$7)&gt;0,$J$7*ACOS((SIN($D$4/$J$7)-SIN(G133/$J$7)*O133)/(COS(G133/$J$7)*SIN(P133/$J$7))),360-($J$7*ACOS((SIN($D$4/$J$7)-SIN(G133/$J$7)*O133)/(COS(G133/$J$7)*SIN(P133/$J$7)))))</f>
        <v>228.7308156923817</v>
      </c>
      <c r="N133" s="68">
        <f>+F133-$D$3</f>
        <v>-164.06</v>
      </c>
      <c r="O133" s="69">
        <f>SIN(G133/$J$7)*SIN($D$4/$J$7)+COS(G133/$J$7)*COS($D$4/$J$7)*COS(N133/$J$7)</f>
        <v>-0.9525080005670494</v>
      </c>
      <c r="P133" s="59">
        <f t="shared" si="5"/>
        <v>162.27109902488507</v>
      </c>
      <c r="Q133" s="38"/>
    </row>
    <row r="134" spans="1:17" ht="12" customHeight="1">
      <c r="A134" s="46">
        <f t="shared" si="4"/>
        <v>127</v>
      </c>
      <c r="B134" s="46" t="s">
        <v>290</v>
      </c>
      <c r="C134" s="46" t="s">
        <v>291</v>
      </c>
      <c r="D134" s="61" t="s">
        <v>24</v>
      </c>
      <c r="E134" s="61" t="s">
        <v>27</v>
      </c>
      <c r="F134" s="64">
        <f>-70</f>
        <v>-70</v>
      </c>
      <c r="G134" s="64">
        <f>-50</f>
        <v>-50</v>
      </c>
      <c r="H134" s="65">
        <f>IF(SIN(J134/$J$7)&gt;0,$J$7*ACOS((SIN(G134/$J$7)-SIN($D$4/$J$7)*K134)/(COS($D$4/$J$7)*SIN(L134/$J$7))),360-($J$7*ACOS((SIN(G134/$J$7)-SIN($D$4/$J$7)*K134)/(COS($D$4/$J$7)*SIN(L134/$J$7)))))</f>
        <v>184.6608962597178</v>
      </c>
      <c r="I134" s="66">
        <f>69.041*$J$7*(ACOS(SIN($D$4/$J$7)*SIN(G134/$J$7)+COS($D$4/$J$7)*COS(G134/$J$7)*COS(J134/$J$7)))</f>
        <v>11286.829313765615</v>
      </c>
      <c r="J134" s="63">
        <f>+$D$3-F134</f>
        <v>182.06</v>
      </c>
      <c r="K134" s="63">
        <f>SIN($D$4/$J$7)*SIN(G134/$J$7)+COS($D$4/$J$7)*COS(G134/$J$7)*COS(J134/$J$7)</f>
        <v>-0.9587210132484705</v>
      </c>
      <c r="L134" s="63">
        <f t="shared" si="3"/>
        <v>163.480096084437</v>
      </c>
      <c r="M134" s="67">
        <f>IF(SIN(N134/$J$7)&gt;0,$J$7*ACOS((SIN($D$4/$J$7)-SIN(G134/$J$7)*O134)/(COS(G134/$J$7)*SIN(P134/$J$7))),360-($J$7*ACOS((SIN($D$4/$J$7)-SIN(G134/$J$7)*O134)/(COS(G134/$J$7)*SIN(P134/$J$7)))))</f>
        <v>173.9523721387968</v>
      </c>
      <c r="N134" s="68">
        <f>+F134-$D$3</f>
        <v>-182.06</v>
      </c>
      <c r="O134" s="69">
        <f>SIN(G134/$J$7)*SIN($D$4/$J$7)+COS(G134/$J$7)*COS($D$4/$J$7)*COS(N134/$J$7)</f>
        <v>-0.9587210132484705</v>
      </c>
      <c r="P134" s="59">
        <f t="shared" si="5"/>
        <v>163.480096084437</v>
      </c>
      <c r="Q134" s="38"/>
    </row>
    <row r="135" spans="1:17" ht="12" customHeight="1">
      <c r="A135" s="46">
        <f t="shared" si="4"/>
        <v>128</v>
      </c>
      <c r="B135" s="46" t="s">
        <v>292</v>
      </c>
      <c r="C135" s="46" t="s">
        <v>293</v>
      </c>
      <c r="D135" s="61" t="s">
        <v>24</v>
      </c>
      <c r="E135" s="61" t="s">
        <v>27</v>
      </c>
      <c r="F135" s="64">
        <f>-77.6</f>
        <v>-77.6</v>
      </c>
      <c r="G135" s="64">
        <f>-37</f>
        <v>-37</v>
      </c>
      <c r="H135" s="65">
        <f>IF(SIN(J135/$J$7)&gt;0,$J$7*ACOS((SIN(G135/$J$7)-SIN($D$4/$J$7)*K135)/(COS($D$4/$J$7)*SIN(L135/$J$7))),360-($J$7*ACOS((SIN(G135/$J$7)-SIN($D$4/$J$7)*K135)/(COS($D$4/$J$7)*SIN(L135/$J$7)))))</f>
        <v>243.63029433415963</v>
      </c>
      <c r="I135" s="66">
        <f>69.041*$J$7*(ACOS(SIN($D$4/$J$7)*SIN(G135/$J$7)+COS($D$4/$J$7)*COS(G135/$J$7)*COS(J135/$J$7)))</f>
        <v>11833.465372255518</v>
      </c>
      <c r="J135" s="63">
        <f>+$D$3-F135</f>
        <v>189.66</v>
      </c>
      <c r="K135" s="63">
        <f>SIN($D$4/$J$7)*SIN(G135/$J$7)+COS($D$4/$J$7)*COS(G135/$J$7)*COS(J135/$J$7)</f>
        <v>-0.9887502552536784</v>
      </c>
      <c r="L135" s="63">
        <f t="shared" si="3"/>
        <v>171.39765316631448</v>
      </c>
      <c r="M135" s="67">
        <f>IF(SIN(N135/$J$7)&gt;0,$J$7*ACOS((SIN($D$4/$J$7)-SIN(G135/$J$7)*O135)/(COS(G135/$J$7)*SIN(P135/$J$7))),360-($J$7*ACOS((SIN($D$4/$J$7)-SIN(G135/$J$7)*O135)/(COS(G135/$J$7)*SIN(P135/$J$7)))))</f>
        <v>110.77969225110253</v>
      </c>
      <c r="N135" s="68">
        <f>+F135-$D$3</f>
        <v>-189.66</v>
      </c>
      <c r="O135" s="69">
        <f>SIN(G135/$J$7)*SIN($D$4/$J$7)+COS(G135/$J$7)*COS($D$4/$J$7)*COS(N135/$J$7)</f>
        <v>-0.9887502552536784</v>
      </c>
      <c r="P135" s="59">
        <f t="shared" si="5"/>
        <v>171.39765316631448</v>
      </c>
      <c r="Q135" s="38"/>
    </row>
    <row r="136" spans="1:17" ht="12" customHeight="1">
      <c r="A136" s="46">
        <f t="shared" si="4"/>
        <v>129</v>
      </c>
      <c r="B136" s="46" t="s">
        <v>294</v>
      </c>
      <c r="C136" s="46" t="s">
        <v>295</v>
      </c>
      <c r="D136" s="61" t="s">
        <v>37</v>
      </c>
      <c r="E136" s="61" t="s">
        <v>38</v>
      </c>
      <c r="F136" s="64">
        <v>176</v>
      </c>
      <c r="G136" s="64">
        <f>-14</f>
        <v>-14</v>
      </c>
      <c r="H136" s="65">
        <f>IF(SIN(J136/$J$7)&gt;0,$J$7*ACOS((SIN(G136/$J$7)-SIN($D$4/$J$7)*K136)/(COS($D$4/$J$7)*SIN(L136/$J$7))),360-($J$7*ACOS((SIN(G136/$J$7)-SIN($D$4/$J$7)*K136)/(COS($D$4/$J$7)*SIN(L136/$J$7)))))</f>
        <v>243.36275076582552</v>
      </c>
      <c r="I136" s="66">
        <f>69.041*$J$7*(ACOS(SIN($D$4/$J$7)*SIN(G136/$J$7)+COS($D$4/$J$7)*COS(G136/$J$7)*COS(J136/$J$7)))</f>
        <v>5329.96999845731</v>
      </c>
      <c r="J136" s="63">
        <f>+$D$3-F136</f>
        <v>-63.94</v>
      </c>
      <c r="K136" s="63">
        <f>SIN($D$4/$J$7)*SIN(G136/$J$7)+COS($D$4/$J$7)*COS(G136/$J$7)*COS(J136/$J$7)</f>
        <v>0.22154731473282765</v>
      </c>
      <c r="L136" s="63">
        <f t="shared" si="3"/>
        <v>77.20006950156154</v>
      </c>
      <c r="M136" s="67">
        <f>IF(SIN(N136/$J$7)&gt;0,$J$7*ACOS((SIN($D$4/$J$7)-SIN(G136/$J$7)*O136)/(COS(G136/$J$7)*SIN(P136/$J$7))),360-($J$7*ACOS((SIN($D$4/$J$7)-SIN(G136/$J$7)*O136)/(COS(G136/$J$7)*SIN(P136/$J$7)))))</f>
        <v>50.15266285954025</v>
      </c>
      <c r="N136" s="68">
        <f>+F136-$D$3</f>
        <v>63.94</v>
      </c>
      <c r="O136" s="69">
        <f>SIN(G136/$J$7)*SIN($D$4/$J$7)+COS(G136/$J$7)*COS($D$4/$J$7)*COS(N136/$J$7)</f>
        <v>0.22154731473282765</v>
      </c>
      <c r="P136" s="59">
        <f t="shared" si="5"/>
        <v>77.20006950156154</v>
      </c>
      <c r="Q136" s="38"/>
    </row>
    <row r="137" spans="1:17" ht="12" customHeight="1">
      <c r="A137" s="46">
        <f t="shared" si="4"/>
        <v>130</v>
      </c>
      <c r="B137" s="46" t="s">
        <v>296</v>
      </c>
      <c r="C137" s="46" t="s">
        <v>297</v>
      </c>
      <c r="D137" s="61" t="s">
        <v>118</v>
      </c>
      <c r="E137" s="61" t="s">
        <v>119</v>
      </c>
      <c r="F137" s="64">
        <v>52</v>
      </c>
      <c r="G137" s="64">
        <v>5</v>
      </c>
      <c r="H137" s="65">
        <f>IF(SIN(J137/$J$7)&gt;0,$J$7*ACOS((SIN(G137/$J$7)-SIN($D$4/$J$7)*K137)/(COS($D$4/$J$7)*SIN(L137/$J$7))),360-($J$7*ACOS((SIN(G137/$J$7)-SIN($D$4/$J$7)*K137)/(COS($D$4/$J$7)*SIN(L137/$J$7)))))</f>
        <v>103.17933944422765</v>
      </c>
      <c r="I137" s="66">
        <f>69.041*$J$7*(ACOS(SIN($D$4/$J$7)*SIN(G137/$J$7)+COS($D$4/$J$7)*COS(G137/$J$7)*COS(J137/$J$7)))</f>
        <v>4311.572679896523</v>
      </c>
      <c r="J137" s="63">
        <f>+$D$3-F137</f>
        <v>60.06</v>
      </c>
      <c r="K137" s="63">
        <f>SIN($D$4/$J$7)*SIN(G137/$J$7)+COS($D$4/$J$7)*COS(G137/$J$7)*COS(J137/$J$7)</f>
        <v>0.4625309657187949</v>
      </c>
      <c r="L137" s="63">
        <f t="shared" si="3"/>
        <v>62.44945293226523</v>
      </c>
      <c r="M137" s="67">
        <f>IF(SIN(N137/$J$7)&gt;0,$J$7*ACOS((SIN($D$4/$J$7)-SIN(G137/$J$7)*O137)/(COS(G137/$J$7)*SIN(P137/$J$7))),360-($J$7*ACOS((SIN($D$4/$J$7)-SIN(G137/$J$7)*O137)/(COS(G137/$J$7)*SIN(P137/$J$7)))))</f>
        <v>305.4568525360285</v>
      </c>
      <c r="N137" s="68">
        <f>+F137-$D$3</f>
        <v>-60.06</v>
      </c>
      <c r="O137" s="69">
        <f>SIN(G137/$J$7)*SIN($D$4/$J$7)+COS(G137/$J$7)*COS($D$4/$J$7)*COS(N137/$J$7)</f>
        <v>0.4625309657187949</v>
      </c>
      <c r="P137" s="59">
        <f t="shared" si="5"/>
        <v>62.44945293226523</v>
      </c>
      <c r="Q137" s="38"/>
    </row>
    <row r="138" spans="1:17" ht="12" customHeight="1">
      <c r="A138" s="46">
        <f t="shared" si="4"/>
        <v>131</v>
      </c>
      <c r="B138" s="46" t="s">
        <v>298</v>
      </c>
      <c r="C138" s="46" t="s">
        <v>299</v>
      </c>
      <c r="D138" s="61" t="s">
        <v>13</v>
      </c>
      <c r="E138" s="61" t="s">
        <v>21</v>
      </c>
      <c r="F138" s="64">
        <v>0.1</v>
      </c>
      <c r="G138" s="64">
        <v>51.5</v>
      </c>
      <c r="H138" s="65">
        <f>IF(SIN(J138/$J$7)&gt;0,$J$7*ACOS((SIN(G138/$J$7)-SIN($D$4/$J$7)*K138)/(COS($D$4/$J$7)*SIN(L138/$J$7))),360-($J$7*ACOS((SIN(G138/$J$7)-SIN($D$4/$J$7)*K138)/(COS($D$4/$J$7)*SIN(L138/$J$7)))))</f>
        <v>36.47736699667974</v>
      </c>
      <c r="I138" s="66">
        <f>69.041*$J$7*(ACOS(SIN($D$4/$J$7)*SIN(G138/$J$7)+COS($D$4/$J$7)*COS(G138/$J$7)*COS(J138/$J$7)))</f>
        <v>5261.030286400502</v>
      </c>
      <c r="J138" s="63">
        <f>+$D$3-F138</f>
        <v>111.96000000000001</v>
      </c>
      <c r="K138" s="63">
        <f>SIN($D$4/$J$7)*SIN(G138/$J$7)+COS($D$4/$J$7)*COS(G138/$J$7)*COS(J138/$J$7)</f>
        <v>0.23850741339647552</v>
      </c>
      <c r="L138" s="63">
        <f t="shared" si="3"/>
        <v>76.20153657103029</v>
      </c>
      <c r="M138" s="67">
        <f>IF(SIN(N138/$J$7)&gt;0,$J$7*ACOS((SIN($D$4/$J$7)-SIN(G138/$J$7)*O138)/(COS(G138/$J$7)*SIN(P138/$J$7))),360-($J$7*ACOS((SIN($D$4/$J$7)-SIN(G138/$J$7)*O138)/(COS(G138/$J$7)*SIN(P138/$J$7)))))</f>
        <v>307.2591187025424</v>
      </c>
      <c r="N138" s="68">
        <f>+F138-$D$3</f>
        <v>-111.96000000000001</v>
      </c>
      <c r="O138" s="69">
        <f>SIN(G138/$J$7)*SIN($D$4/$J$7)+COS(G138/$J$7)*COS($D$4/$J$7)*COS(N138/$J$7)</f>
        <v>0.23850741339647552</v>
      </c>
      <c r="P138" s="59">
        <f t="shared" si="5"/>
        <v>76.20153657103029</v>
      </c>
      <c r="Q138" s="38"/>
    </row>
    <row r="139" spans="1:17" ht="12" customHeight="1">
      <c r="A139" s="46">
        <f aca="true" t="shared" si="6" ref="A139:A202">1+A138</f>
        <v>132</v>
      </c>
      <c r="B139" s="46" t="s">
        <v>300</v>
      </c>
      <c r="C139" s="46" t="s">
        <v>301</v>
      </c>
      <c r="D139" s="61" t="s">
        <v>13</v>
      </c>
      <c r="E139" s="61" t="s">
        <v>21</v>
      </c>
      <c r="F139" s="64">
        <v>4.5</v>
      </c>
      <c r="G139" s="64">
        <v>54</v>
      </c>
      <c r="H139" s="65">
        <f>IF(SIN(J139/$J$7)&gt;0,$J$7*ACOS((SIN(G139/$J$7)-SIN($D$4/$J$7)*K139)/(COS($D$4/$J$7)*SIN(L139/$J$7))),360-($J$7*ACOS((SIN(G139/$J$7)-SIN($D$4/$J$7)*K139)/(COS($D$4/$J$7)*SIN(L139/$J$7)))))</f>
        <v>35.96724879814397</v>
      </c>
      <c r="I139" s="66">
        <f>69.041*$J$7*(ACOS(SIN($D$4/$J$7)*SIN(G139/$J$7)+COS($D$4/$J$7)*COS(G139/$J$7)*COS(J139/$J$7)))</f>
        <v>5011.213702563354</v>
      </c>
      <c r="J139" s="63">
        <f>+$D$3-F139</f>
        <v>107.56</v>
      </c>
      <c r="K139" s="63">
        <f>SIN($D$4/$J$7)*SIN(G139/$J$7)+COS($D$4/$J$7)*COS(G139/$J$7)*COS(J139/$J$7)</f>
        <v>0.29932130297607784</v>
      </c>
      <c r="L139" s="63">
        <f aca="true" t="shared" si="7" ref="L139:L203">+$J$7*ACOS(K139)</f>
        <v>72.58315642246424</v>
      </c>
      <c r="M139" s="67">
        <f>IF(SIN(N139/$J$7)&gt;0,$J$7*ACOS((SIN($D$4/$J$7)-SIN(G139/$J$7)*O139)/(COS(G139/$J$7)*SIN(P139/$J$7))),360-($J$7*ACOS((SIN($D$4/$J$7)-SIN(G139/$J$7)*O139)/(COS(G139/$J$7)*SIN(P139/$J$7)))))</f>
        <v>303.61793011448134</v>
      </c>
      <c r="N139" s="68">
        <f>+F139-$D$3</f>
        <v>-107.56</v>
      </c>
      <c r="O139" s="69">
        <f>SIN(G139/$J$7)*SIN($D$4/$J$7)+COS(G139/$J$7)*COS($D$4/$J$7)*COS(N139/$J$7)</f>
        <v>0.29932130297607784</v>
      </c>
      <c r="P139" s="59">
        <f t="shared" si="5"/>
        <v>72.58315642246424</v>
      </c>
      <c r="Q139" s="38"/>
    </row>
    <row r="140" spans="1:17" ht="12" customHeight="1">
      <c r="A140" s="46">
        <f t="shared" si="6"/>
        <v>133</v>
      </c>
      <c r="B140" s="46" t="s">
        <v>302</v>
      </c>
      <c r="C140" s="46" t="s">
        <v>303</v>
      </c>
      <c r="D140" s="61" t="s">
        <v>13</v>
      </c>
      <c r="E140" s="61" t="s">
        <v>21</v>
      </c>
      <c r="F140" s="64">
        <v>5.9</v>
      </c>
      <c r="G140" s="64">
        <v>54.6</v>
      </c>
      <c r="H140" s="65">
        <f>IF(SIN(J140/$J$7)&gt;0,$J$7*ACOS((SIN(G140/$J$7)-SIN($D$4/$J$7)*K140)/(COS($D$4/$J$7)*SIN(L140/$J$7))),360-($J$7*ACOS((SIN(G140/$J$7)-SIN($D$4/$J$7)*K140)/(COS($D$4/$J$7)*SIN(L140/$J$7)))))</f>
        <v>35.90679786674828</v>
      </c>
      <c r="I140" s="66">
        <f>69.041*$J$7*(ACOS(SIN($D$4/$J$7)*SIN(G140/$J$7)+COS($D$4/$J$7)*COS(G140/$J$7)*COS(J140/$J$7)))</f>
        <v>4941.347474814758</v>
      </c>
      <c r="J140" s="63">
        <f>+$D$3-F140</f>
        <v>106.16</v>
      </c>
      <c r="K140" s="63">
        <f>SIN($D$4/$J$7)*SIN(G140/$J$7)+COS($D$4/$J$7)*COS(G140/$J$7)*COS(J140/$J$7)</f>
        <v>0.31612589285136505</v>
      </c>
      <c r="L140" s="63">
        <f t="shared" si="7"/>
        <v>71.57120370236176</v>
      </c>
      <c r="M140" s="67">
        <f>IF(SIN(N140/$J$7)&gt;0,$J$7*ACOS((SIN($D$4/$J$7)-SIN(G140/$J$7)*O140)/(COS(G140/$J$7)*SIN(P140/$J$7))),360-($J$7*ACOS((SIN($D$4/$J$7)-SIN(G140/$J$7)*O140)/(COS(G140/$J$7)*SIN(P140/$J$7)))))</f>
        <v>302.46237470034157</v>
      </c>
      <c r="N140" s="68">
        <f>+F140-$D$3</f>
        <v>-106.16</v>
      </c>
      <c r="O140" s="69">
        <f>SIN(G140/$J$7)*SIN($D$4/$J$7)+COS(G140/$J$7)*COS($D$4/$J$7)*COS(N140/$J$7)</f>
        <v>0.31612589285136505</v>
      </c>
      <c r="P140" s="59">
        <f t="shared" si="5"/>
        <v>71.57120370236176</v>
      </c>
      <c r="Q140" s="38"/>
    </row>
    <row r="141" spans="1:17" ht="12" customHeight="1">
      <c r="A141" s="46">
        <f t="shared" si="6"/>
        <v>134</v>
      </c>
      <c r="B141" s="46" t="s">
        <v>304</v>
      </c>
      <c r="C141" s="46" t="s">
        <v>305</v>
      </c>
      <c r="D141" s="61" t="s">
        <v>13</v>
      </c>
      <c r="E141" s="61" t="s">
        <v>21</v>
      </c>
      <c r="F141" s="64">
        <v>2.2</v>
      </c>
      <c r="G141" s="64">
        <v>49.3</v>
      </c>
      <c r="H141" s="65">
        <f>IF(SIN(J141/$J$7)&gt;0,$J$7*ACOS((SIN(G141/$J$7)-SIN($D$4/$J$7)*K141)/(COS($D$4/$J$7)*SIN(L141/$J$7))),360-($J$7*ACOS((SIN(G141/$J$7)-SIN($D$4/$J$7)*K141)/(COS($D$4/$J$7)*SIN(L141/$J$7)))))</f>
        <v>39.115565942656666</v>
      </c>
      <c r="I141" s="66">
        <f>69.041*$J$7*(ACOS(SIN($D$4/$J$7)*SIN(G141/$J$7)+COS($D$4/$J$7)*COS(G141/$J$7)*COS(J141/$J$7)))</f>
        <v>5277.884287120062</v>
      </c>
      <c r="J141" s="63">
        <f>+$D$3-F141</f>
        <v>109.86</v>
      </c>
      <c r="K141" s="63">
        <f>SIN($D$4/$J$7)*SIN(G141/$J$7)+COS($D$4/$J$7)*COS(G141/$J$7)*COS(J141/$J$7)</f>
        <v>0.2343675949528723</v>
      </c>
      <c r="L141" s="63">
        <f t="shared" si="7"/>
        <v>76.44565239669272</v>
      </c>
      <c r="M141" s="67">
        <f>IF(SIN(N141/$J$7)&gt;0,$J$7*ACOS((SIN($D$4/$J$7)-SIN(G141/$J$7)*O141)/(COS(G141/$J$7)*SIN(P141/$J$7))),360-($J$7*ACOS((SIN($D$4/$J$7)-SIN(G141/$J$7)*O141)/(COS(G141/$J$7)*SIN(P141/$J$7)))))</f>
        <v>306.26454514492184</v>
      </c>
      <c r="N141" s="68">
        <f>+F141-$D$3</f>
        <v>-109.86</v>
      </c>
      <c r="O141" s="69">
        <f>SIN(G141/$J$7)*SIN($D$4/$J$7)+COS(G141/$J$7)*COS($D$4/$J$7)*COS(N141/$J$7)</f>
        <v>0.2343675949528723</v>
      </c>
      <c r="P141" s="59">
        <f aca="true" t="shared" si="8" ref="P141:P205">$J$7*ACOS(O141)</f>
        <v>76.44565239669272</v>
      </c>
      <c r="Q141" s="38"/>
    </row>
    <row r="142" spans="1:17" ht="12" customHeight="1">
      <c r="A142" s="46">
        <f t="shared" si="6"/>
        <v>135</v>
      </c>
      <c r="B142" s="46" t="s">
        <v>306</v>
      </c>
      <c r="C142" s="46" t="s">
        <v>307</v>
      </c>
      <c r="D142" s="61" t="s">
        <v>13</v>
      </c>
      <c r="E142" s="61" t="s">
        <v>21</v>
      </c>
      <c r="F142" s="64">
        <v>4.3</v>
      </c>
      <c r="G142" s="64">
        <v>55.8</v>
      </c>
      <c r="H142" s="65">
        <f>IF(SIN(J142/$J$7)&gt;0,$J$7*ACOS((SIN(G142/$J$7)-SIN($D$4/$J$7)*K142)/(COS($D$4/$J$7)*SIN(L142/$J$7))),360-($J$7*ACOS((SIN(G142/$J$7)-SIN($D$4/$J$7)*K142)/(COS($D$4/$J$7)*SIN(L142/$J$7)))))</f>
        <v>34.32267130304242</v>
      </c>
      <c r="I142" s="66">
        <f>69.041*$J$7*(ACOS(SIN($D$4/$J$7)*SIN(G142/$J$7)+COS($D$4/$J$7)*COS(G142/$J$7)*COS(J142/$J$7)))</f>
        <v>4949.33823254864</v>
      </c>
      <c r="J142" s="63">
        <f>+$D$3-F142</f>
        <v>107.76</v>
      </c>
      <c r="K142" s="63">
        <f>SIN($D$4/$J$7)*SIN(G142/$J$7)+COS($D$4/$J$7)*COS(G142/$J$7)*COS(J142/$J$7)</f>
        <v>0.31420880993160316</v>
      </c>
      <c r="L142" s="63">
        <f t="shared" si="7"/>
        <v>71.68694301282774</v>
      </c>
      <c r="M142" s="67">
        <f>IF(SIN(N142/$J$7)&gt;0,$J$7*ACOS((SIN($D$4/$J$7)-SIN(G142/$J$7)*O142)/(COS(G142/$J$7)*SIN(P142/$J$7))),360-($J$7*ACOS((SIN($D$4/$J$7)-SIN(G142/$J$7)*O142)/(COS(G142/$J$7)*SIN(P142/$J$7)))))</f>
        <v>303.27701915250105</v>
      </c>
      <c r="N142" s="68">
        <f>+F142-$D$3</f>
        <v>-107.76</v>
      </c>
      <c r="O142" s="69">
        <f>SIN(G142/$J$7)*SIN($D$4/$J$7)+COS(G142/$J$7)*COS($D$4/$J$7)*COS(N142/$J$7)</f>
        <v>0.31420880993160316</v>
      </c>
      <c r="P142" s="59">
        <f t="shared" si="8"/>
        <v>71.68694301282774</v>
      </c>
      <c r="Q142" s="38"/>
    </row>
    <row r="143" spans="1:17" ht="12" customHeight="1">
      <c r="A143" s="46">
        <f t="shared" si="6"/>
        <v>136</v>
      </c>
      <c r="B143" s="46" t="s">
        <v>308</v>
      </c>
      <c r="C143" s="46" t="s">
        <v>309</v>
      </c>
      <c r="D143" s="61" t="s">
        <v>13</v>
      </c>
      <c r="E143" s="61" t="s">
        <v>21</v>
      </c>
      <c r="F143" s="64">
        <v>2.7</v>
      </c>
      <c r="G143" s="64">
        <v>49.5</v>
      </c>
      <c r="H143" s="65">
        <f>IF(SIN(J143/$J$7)&gt;0,$J$7*ACOS((SIN(G143/$J$7)-SIN($D$4/$J$7)*K143)/(COS($D$4/$J$7)*SIN(L143/$J$7))),360-($J$7*ACOS((SIN(G143/$J$7)-SIN($D$4/$J$7)*K143)/(COS($D$4/$J$7)*SIN(L143/$J$7)))))</f>
        <v>39.14642599872958</v>
      </c>
      <c r="I143" s="66">
        <f>69.041*$J$7*(ACOS(SIN($D$4/$J$7)*SIN(G143/$J$7)+COS($D$4/$J$7)*COS(G143/$J$7)*COS(J143/$J$7)))</f>
        <v>5251.596319225924</v>
      </c>
      <c r="J143" s="63">
        <f>+$D$3-F143</f>
        <v>109.36</v>
      </c>
      <c r="K143" s="63">
        <f>SIN($D$4/$J$7)*SIN(G143/$J$7)+COS($D$4/$J$7)*COS(G143/$J$7)*COS(J143/$J$7)</f>
        <v>0.24082277690429219</v>
      </c>
      <c r="L143" s="63">
        <f t="shared" si="7"/>
        <v>76.06489360272772</v>
      </c>
      <c r="M143" s="67">
        <f>IF(SIN(N143/$J$7)&gt;0,$J$7*ACOS((SIN($D$4/$J$7)-SIN(G143/$J$7)*O143)/(COS(G143/$J$7)*SIN(P143/$J$7))),360-($J$7*ACOS((SIN($D$4/$J$7)-SIN(G143/$J$7)*O143)/(COS(G143/$J$7)*SIN(P143/$J$7)))))</f>
        <v>305.89224017458645</v>
      </c>
      <c r="N143" s="68">
        <f>+F143-$D$3</f>
        <v>-109.36</v>
      </c>
      <c r="O143" s="69">
        <f>SIN(G143/$J$7)*SIN($D$4/$J$7)+COS(G143/$J$7)*COS($D$4/$J$7)*COS(N143/$J$7)</f>
        <v>0.24082277690429219</v>
      </c>
      <c r="P143" s="59">
        <f t="shared" si="8"/>
        <v>76.06489360272772</v>
      </c>
      <c r="Q143" s="38"/>
    </row>
    <row r="144" spans="1:17" ht="12" customHeight="1">
      <c r="A144" s="46">
        <f t="shared" si="6"/>
        <v>137</v>
      </c>
      <c r="B144" s="46" t="s">
        <v>310</v>
      </c>
      <c r="C144" s="46" t="s">
        <v>311</v>
      </c>
      <c r="D144" s="61" t="s">
        <v>13</v>
      </c>
      <c r="E144" s="61" t="s">
        <v>21</v>
      </c>
      <c r="F144" s="64">
        <v>3.5</v>
      </c>
      <c r="G144" s="64">
        <v>52.5</v>
      </c>
      <c r="H144" s="65">
        <f>IF(SIN(J144/$J$7)&gt;0,$J$7*ACOS((SIN(G144/$J$7)-SIN($D$4/$J$7)*K144)/(COS($D$4/$J$7)*SIN(L144/$J$7))),360-($J$7*ACOS((SIN(G144/$J$7)-SIN($D$4/$J$7)*K144)/(COS($D$4/$J$7)*SIN(L144/$J$7)))))</f>
        <v>36.91265144717534</v>
      </c>
      <c r="I144" s="66">
        <f>69.041*$J$7*(ACOS(SIN($D$4/$J$7)*SIN(G144/$J$7)+COS($D$4/$J$7)*COS(G144/$J$7)*COS(J144/$J$7)))</f>
        <v>5103.541385488641</v>
      </c>
      <c r="J144" s="63">
        <f>+$D$3-F144</f>
        <v>108.56</v>
      </c>
      <c r="K144" s="63">
        <f>SIN($D$4/$J$7)*SIN(G144/$J$7)+COS($D$4/$J$7)*COS(G144/$J$7)*COS(J144/$J$7)</f>
        <v>0.27697181239334184</v>
      </c>
      <c r="L144" s="63">
        <f t="shared" si="7"/>
        <v>73.92044416344841</v>
      </c>
      <c r="M144" s="67">
        <f>IF(SIN(N144/$J$7)&gt;0,$J$7*ACOS((SIN($D$4/$J$7)-SIN(G144/$J$7)*O144)/(COS(G144/$J$7)*SIN(P144/$J$7))),360-($J$7*ACOS((SIN($D$4/$J$7)-SIN(G144/$J$7)*O144)/(COS(G144/$J$7)*SIN(P144/$J$7)))))</f>
        <v>304.69171714891866</v>
      </c>
      <c r="N144" s="68">
        <f>+F144-$D$3</f>
        <v>-108.56</v>
      </c>
      <c r="O144" s="69">
        <f>SIN(G144/$J$7)*SIN($D$4/$J$7)+COS(G144/$J$7)*COS($D$4/$J$7)*COS(N144/$J$7)</f>
        <v>0.27697181239334184</v>
      </c>
      <c r="P144" s="59">
        <f t="shared" si="8"/>
        <v>73.92044416344841</v>
      </c>
      <c r="Q144" s="38"/>
    </row>
    <row r="145" spans="1:17" ht="12" customHeight="1">
      <c r="A145" s="46">
        <f t="shared" si="6"/>
        <v>138</v>
      </c>
      <c r="B145" s="46" t="s">
        <v>312</v>
      </c>
      <c r="C145" s="46" t="s">
        <v>313</v>
      </c>
      <c r="D145" s="61" t="s">
        <v>37</v>
      </c>
      <c r="E145" s="61" t="s">
        <v>134</v>
      </c>
      <c r="F145" s="64">
        <f>-160</f>
        <v>-160</v>
      </c>
      <c r="G145" s="64">
        <f>-9.4</f>
        <v>-9.4</v>
      </c>
      <c r="H145" s="65">
        <f>IF(SIN(J145/$J$7)&gt;0,$J$7*ACOS((SIN(G145/$J$7)-SIN($D$4/$J$7)*K145)/(COS($D$4/$J$7)*SIN(L145/$J$7))),360-($J$7*ACOS((SIN(G145/$J$7)-SIN($D$4/$J$7)*K145)/(COS($D$4/$J$7)*SIN(L145/$J$7)))))</f>
        <v>261.02499514944424</v>
      </c>
      <c r="I145" s="66">
        <f>69.041*$J$7*(ACOS(SIN($D$4/$J$7)*SIN(G145/$J$7)+COS($D$4/$J$7)*COS(G145/$J$7)*COS(J145/$J$7)))</f>
        <v>6453.988491597271</v>
      </c>
      <c r="J145" s="63">
        <f>+$D$3-F145</f>
        <v>272.06</v>
      </c>
      <c r="K145" s="63">
        <f>SIN($D$4/$J$7)*SIN(G145/$J$7)+COS($D$4/$J$7)*COS(G145/$J$7)*COS(J145/$J$7)</f>
        <v>-0.06070915738512979</v>
      </c>
      <c r="L145" s="63">
        <f t="shared" si="7"/>
        <v>93.4805187004428</v>
      </c>
      <c r="M145" s="67">
        <f>IF(SIN(N145/$J$7)&gt;0,$J$7*ACOS((SIN($D$4/$J$7)-SIN(G145/$J$7)*O145)/(COS(G145/$J$7)*SIN(P145/$J$7))),360-($J$7*ACOS((SIN($D$4/$J$7)-SIN(G145/$J$7)*O145)/(COS(G145/$J$7)*SIN(P145/$J$7)))))</f>
        <v>56.55386144898829</v>
      </c>
      <c r="N145" s="68">
        <f>+F145-$D$3</f>
        <v>-272.06</v>
      </c>
      <c r="O145" s="69">
        <f>SIN(G145/$J$7)*SIN($D$4/$J$7)+COS(G145/$J$7)*COS($D$4/$J$7)*COS(N145/$J$7)</f>
        <v>-0.06070915738512979</v>
      </c>
      <c r="P145" s="59">
        <f t="shared" si="8"/>
        <v>93.4805187004428</v>
      </c>
      <c r="Q145" s="38"/>
    </row>
    <row r="146" spans="1:17" ht="12" customHeight="1">
      <c r="A146" s="46">
        <f t="shared" si="6"/>
        <v>139</v>
      </c>
      <c r="B146" s="46" t="s">
        <v>718</v>
      </c>
      <c r="C146" s="46" t="s">
        <v>719</v>
      </c>
      <c r="D146" s="61" t="s">
        <v>37</v>
      </c>
      <c r="E146" s="61">
        <v>28</v>
      </c>
      <c r="F146" s="64">
        <v>-167</v>
      </c>
      <c r="G146" s="64">
        <v>-12.5</v>
      </c>
      <c r="H146" s="65">
        <f>IF(SIN(J146/$J$7)&gt;0,$J$7*ACOS((SIN(G146/$J$7)-SIN($D$4/$J$7)*K146)/(COS($D$4/$J$7)*SIN(L146/$J$7))),360-($J$7*ACOS((SIN(G146/$J$7)-SIN($D$4/$J$7)*K146)/(COS($D$4/$J$7)*SIN(L146/$J$7)))))</f>
        <v>254.61191284268034</v>
      </c>
      <c r="I146" s="66">
        <f>69.041*$J$7*(ACOS(SIN($D$4/$J$7)*SIN(G146/$J$7)+COS($D$4/$J$7)*COS(G146/$J$7)*COS(J146/$J$7)))</f>
        <v>6180.042996064217</v>
      </c>
      <c r="J146" s="63">
        <f>+$D$3-F146</f>
        <v>279.06</v>
      </c>
      <c r="K146" s="63">
        <f>SIN($D$4/$J$7)*SIN(G146/$J$7)+COS($D$4/$J$7)*COS(G146/$J$7)*COS(J146/$J$7)</f>
        <v>0.00850572733523959</v>
      </c>
      <c r="L146" s="63">
        <f t="shared" si="7"/>
        <v>89.51265184548626</v>
      </c>
      <c r="M146" s="67">
        <f>IF(SIN(N146/$J$7)&gt;0,$J$7*ACOS((SIN($D$4/$J$7)-SIN(G146/$J$7)*O146)/(COS(G146/$J$7)*SIN(P146/$J$7))),360-($J$7*ACOS((SIN($D$4/$J$7)-SIN(G146/$J$7)*O146)/(COS(G146/$J$7)*SIN(P146/$J$7)))))</f>
        <v>55.389880052908964</v>
      </c>
      <c r="N146" s="68">
        <f>+F146-$D$3</f>
        <v>-279.06</v>
      </c>
      <c r="O146" s="69">
        <f>SIN(G146/$J$7)*SIN($D$4/$J$7)+COS(G146/$J$7)*COS($D$4/$J$7)*COS(N146/$J$7)</f>
        <v>0.00850572733523959</v>
      </c>
      <c r="P146" s="59">
        <f t="shared" si="8"/>
        <v>89.51265184548626</v>
      </c>
      <c r="Q146" s="38"/>
    </row>
    <row r="147" spans="1:17" ht="12" customHeight="1">
      <c r="A147" s="46">
        <f t="shared" si="6"/>
        <v>140</v>
      </c>
      <c r="B147" s="46" t="s">
        <v>314</v>
      </c>
      <c r="C147" s="46" t="s">
        <v>315</v>
      </c>
      <c r="D147" s="61" t="s">
        <v>13</v>
      </c>
      <c r="E147" s="61" t="s">
        <v>14</v>
      </c>
      <c r="F147" s="64">
        <f>-19.1</f>
        <v>-19.1</v>
      </c>
      <c r="G147" s="64">
        <v>47.5</v>
      </c>
      <c r="H147" s="65">
        <f>IF(SIN(J147/$J$7)&gt;0,$J$7*ACOS((SIN(G147/$J$7)-SIN($D$4/$J$7)*K147)/(COS($D$4/$J$7)*SIN(L147/$J$7))),360-($J$7*ACOS((SIN(G147/$J$7)-SIN($D$4/$J$7)*K147)/(COS($D$4/$J$7)*SIN(L147/$J$7)))))</f>
        <v>30.595993581475472</v>
      </c>
      <c r="I147" s="66">
        <f>69.041*$J$7*(ACOS(SIN($D$4/$J$7)*SIN(G147/$J$7)+COS($D$4/$J$7)*COS(G147/$J$7)*COS(J147/$J$7)))</f>
        <v>6067.7104857691265</v>
      </c>
      <c r="J147" s="63">
        <f>+$D$3-F147</f>
        <v>131.16</v>
      </c>
      <c r="K147" s="63">
        <f>SIN($D$4/$J$7)*SIN(G147/$J$7)+COS($D$4/$J$7)*COS(G147/$J$7)*COS(J147/$J$7)</f>
        <v>0.03689467008693503</v>
      </c>
      <c r="L147" s="63">
        <f t="shared" si="7"/>
        <v>87.88561124214782</v>
      </c>
      <c r="M147" s="67">
        <f>IF(SIN(N147/$J$7)&gt;0,$J$7*ACOS((SIN($D$4/$J$7)-SIN(G147/$J$7)*O147)/(COS(G147/$J$7)*SIN(P147/$J$7))),360-($J$7*ACOS((SIN($D$4/$J$7)-SIN(G147/$J$7)*O147)/(COS(G147/$J$7)*SIN(P147/$J$7)))))</f>
        <v>321.10640511224767</v>
      </c>
      <c r="N147" s="68">
        <f>+F147-$D$3</f>
        <v>-131.16</v>
      </c>
      <c r="O147" s="69">
        <f>SIN(G147/$J$7)*SIN($D$4/$J$7)+COS(G147/$J$7)*COS($D$4/$J$7)*COS(N147/$J$7)</f>
        <v>0.03689467008693503</v>
      </c>
      <c r="P147" s="59">
        <f t="shared" si="8"/>
        <v>87.88561124214782</v>
      </c>
      <c r="Q147" s="38"/>
    </row>
    <row r="148" spans="1:17" ht="12" customHeight="1">
      <c r="A148" s="46">
        <f t="shared" si="6"/>
        <v>141</v>
      </c>
      <c r="B148" s="46" t="s">
        <v>316</v>
      </c>
      <c r="C148" s="46" t="s">
        <v>317</v>
      </c>
      <c r="D148" s="61" t="s">
        <v>13</v>
      </c>
      <c r="E148" s="61" t="s">
        <v>21</v>
      </c>
      <c r="F148" s="64">
        <f>-7</f>
        <v>-7</v>
      </c>
      <c r="G148" s="64">
        <v>47</v>
      </c>
      <c r="H148" s="65">
        <f>IF(SIN(J148/$J$7)&gt;0,$J$7*ACOS((SIN(G148/$J$7)-SIN($D$4/$J$7)*K148)/(COS($D$4/$J$7)*SIN(L148/$J$7))),360-($J$7*ACOS((SIN(G148/$J$7)-SIN($D$4/$J$7)*K148)/(COS($D$4/$J$7)*SIN(L148/$J$7)))))</f>
        <v>36.948447988429685</v>
      </c>
      <c r="I148" s="66">
        <f>69.041*$J$7*(ACOS(SIN($D$4/$J$7)*SIN(G148/$J$7)+COS($D$4/$J$7)*COS(G148/$J$7)*COS(J148/$J$7)))</f>
        <v>5705.494731227366</v>
      </c>
      <c r="J148" s="63">
        <f>+$D$3-F148</f>
        <v>119.06</v>
      </c>
      <c r="K148" s="63">
        <f>SIN($D$4/$J$7)*SIN(G148/$J$7)+COS($D$4/$J$7)*COS(G148/$J$7)*COS(J148/$J$7)</f>
        <v>0.12811666351728274</v>
      </c>
      <c r="L148" s="63">
        <f t="shared" si="7"/>
        <v>82.63922497106599</v>
      </c>
      <c r="M148" s="67">
        <f>IF(SIN(N148/$J$7)&gt;0,$J$7*ACOS((SIN($D$4/$J$7)-SIN(G148/$J$7)*O148)/(COS(G148/$J$7)*SIN(P148/$J$7))),360-($J$7*ACOS((SIN($D$4/$J$7)-SIN(G148/$J$7)*O148)/(COS(G148/$J$7)*SIN(P148/$J$7)))))</f>
        <v>312.73153802230604</v>
      </c>
      <c r="N148" s="68">
        <f>+F148-$D$3</f>
        <v>-119.06</v>
      </c>
      <c r="O148" s="69">
        <f>SIN(G148/$J$7)*SIN($D$4/$J$7)+COS(G148/$J$7)*COS($D$4/$J$7)*COS(N148/$J$7)</f>
        <v>0.12811666351728274</v>
      </c>
      <c r="P148" s="59">
        <f t="shared" si="8"/>
        <v>82.63922497106599</v>
      </c>
      <c r="Q148" s="38"/>
    </row>
    <row r="149" spans="1:17" ht="12" customHeight="1">
      <c r="A149" s="46">
        <f t="shared" si="6"/>
        <v>142</v>
      </c>
      <c r="B149" s="46" t="s">
        <v>318</v>
      </c>
      <c r="C149" s="46" t="s">
        <v>319</v>
      </c>
      <c r="D149" s="61" t="s">
        <v>13</v>
      </c>
      <c r="E149" s="61" t="s">
        <v>21</v>
      </c>
      <c r="F149" s="64">
        <f>-9.5</f>
        <v>-9.5</v>
      </c>
      <c r="G149" s="64">
        <v>47</v>
      </c>
      <c r="H149" s="65">
        <f>IF(SIN(J149/$J$7)&gt;0,$J$7*ACOS((SIN(G149/$J$7)-SIN($D$4/$J$7)*K149)/(COS($D$4/$J$7)*SIN(L149/$J$7))),360-($J$7*ACOS((SIN(G149/$J$7)-SIN($D$4/$J$7)*K149)/(COS($D$4/$J$7)*SIN(L149/$J$7)))))</f>
        <v>35.76504610539036</v>
      </c>
      <c r="I149" s="66">
        <f>69.041*$J$7*(ACOS(SIN($D$4/$J$7)*SIN(G149/$J$7)+COS($D$4/$J$7)*COS(G149/$J$7)*COS(J149/$J$7)))</f>
        <v>5790.7733336158135</v>
      </c>
      <c r="J149" s="63">
        <f>+$D$3-F149</f>
        <v>121.56</v>
      </c>
      <c r="K149" s="63">
        <f>SIN($D$4/$J$7)*SIN(G149/$J$7)+COS($D$4/$J$7)*COS(G149/$J$7)*COS(J149/$J$7)</f>
        <v>0.10670811317348894</v>
      </c>
      <c r="L149" s="63">
        <f t="shared" si="7"/>
        <v>83.87441279262777</v>
      </c>
      <c r="M149" s="67">
        <f>IF(SIN(N149/$J$7)&gt;0,$J$7*ACOS((SIN($D$4/$J$7)-SIN(G149/$J$7)*O149)/(COS(G149/$J$7)*SIN(P149/$J$7))),360-($J$7*ACOS((SIN($D$4/$J$7)-SIN(G149/$J$7)*O149)/(COS(G149/$J$7)*SIN(P149/$J$7)))))</f>
        <v>314.4210901462177</v>
      </c>
      <c r="N149" s="68">
        <f>+F149-$D$3</f>
        <v>-121.56</v>
      </c>
      <c r="O149" s="69">
        <f>SIN(G149/$J$7)*SIN($D$4/$J$7)+COS(G149/$J$7)*COS($D$4/$J$7)*COS(N149/$J$7)</f>
        <v>0.10670811317348894</v>
      </c>
      <c r="P149" s="59">
        <f t="shared" si="8"/>
        <v>83.87441279262777</v>
      </c>
      <c r="Q149" s="38"/>
    </row>
    <row r="150" spans="1:17" ht="12" customHeight="1">
      <c r="A150" s="46">
        <f t="shared" si="6"/>
        <v>143</v>
      </c>
      <c r="B150" s="46" t="s">
        <v>320</v>
      </c>
      <c r="C150" s="46" t="s">
        <v>321</v>
      </c>
      <c r="D150" s="61" t="s">
        <v>118</v>
      </c>
      <c r="E150" s="61" t="s">
        <v>203</v>
      </c>
      <c r="F150" s="64">
        <v>78</v>
      </c>
      <c r="G150" s="64">
        <f>-0.2</f>
        <v>-0.2</v>
      </c>
      <c r="H150" s="65">
        <f>IF(SIN(J150/$J$7)&gt;0,$J$7*ACOS((SIN(G150/$J$7)-SIN($D$4/$J$7)*K150)/(COS($D$4/$J$7)*SIN(L150/$J$7))),360-($J$7*ACOS((SIN(G150/$J$7)-SIN($D$4/$J$7)*K150)/(COS($D$4/$J$7)*SIN(L150/$J$7)))))</f>
        <v>129.44430716662058</v>
      </c>
      <c r="I150" s="66">
        <f>69.041*$J$7*(ACOS(SIN($D$4/$J$7)*SIN(G150/$J$7)+COS($D$4/$J$7)*COS(G150/$J$7)*COS(J150/$J$7)))</f>
        <v>3209.606110831787</v>
      </c>
      <c r="J150" s="63">
        <f>+$D$3-F150</f>
        <v>34.06</v>
      </c>
      <c r="K150" s="63">
        <f>SIN($D$4/$J$7)*SIN(G150/$J$7)+COS($D$4/$J$7)*COS(G150/$J$7)*COS(J150/$J$7)</f>
        <v>0.688501330389001</v>
      </c>
      <c r="L150" s="63">
        <f t="shared" si="7"/>
        <v>46.488407045549565</v>
      </c>
      <c r="M150" s="67">
        <f>IF(SIN(N150/$J$7)&gt;0,$J$7*ACOS((SIN($D$4/$J$7)-SIN(G150/$J$7)*O150)/(COS(G150/$J$7)*SIN(P150/$J$7))),360-($J$7*ACOS((SIN($D$4/$J$7)-SIN(G150/$J$7)*O150)/(COS(G150/$J$7)*SIN(P150/$J$7)))))</f>
        <v>319.939675327944</v>
      </c>
      <c r="N150" s="68">
        <f>+F150-$D$3</f>
        <v>-34.06</v>
      </c>
      <c r="O150" s="69">
        <f>SIN(G150/$J$7)*SIN($D$4/$J$7)+COS(G150/$J$7)*COS($D$4/$J$7)*COS(N150/$J$7)</f>
        <v>0.688501330389001</v>
      </c>
      <c r="P150" s="59">
        <f t="shared" si="8"/>
        <v>46.488407045549565</v>
      </c>
      <c r="Q150" s="38"/>
    </row>
    <row r="151" spans="1:17" ht="12" customHeight="1">
      <c r="A151" s="46">
        <f t="shared" si="6"/>
        <v>144</v>
      </c>
      <c r="B151" s="46" t="s">
        <v>322</v>
      </c>
      <c r="C151" s="46" t="s">
        <v>323</v>
      </c>
      <c r="D151" s="61" t="s">
        <v>118</v>
      </c>
      <c r="E151" s="61" t="s">
        <v>203</v>
      </c>
      <c r="F151" s="64">
        <v>92</v>
      </c>
      <c r="G151" s="64">
        <f>-2</f>
        <v>-2</v>
      </c>
      <c r="H151" s="65">
        <f>IF(SIN(J151/$J$7)&gt;0,$J$7*ACOS((SIN(G151/$J$7)-SIN($D$4/$J$7)*K151)/(COS($D$4/$J$7)*SIN(L151/$J$7))),360-($J$7*ACOS((SIN(G151/$J$7)-SIN($D$4/$J$7)*K151)/(COS($D$4/$J$7)*SIN(L151/$J$7)))))</f>
        <v>147.96800218265994</v>
      </c>
      <c r="I151" s="66">
        <f>69.041*$J$7*(ACOS(SIN($D$4/$J$7)*SIN(G151/$J$7)+COS($D$4/$J$7)*COS(G151/$J$7)*COS(J151/$J$7)))</f>
        <v>2779.8340526278816</v>
      </c>
      <c r="J151" s="63">
        <f>+$D$3-F151</f>
        <v>20.060000000000002</v>
      </c>
      <c r="K151" s="63">
        <f>SIN($D$4/$J$7)*SIN(G151/$J$7)+COS($D$4/$J$7)*COS(G151/$J$7)*COS(J151/$J$7)</f>
        <v>0.7630799234439262</v>
      </c>
      <c r="L151" s="63">
        <f t="shared" si="7"/>
        <v>40.263525334625534</v>
      </c>
      <c r="M151" s="67">
        <f>IF(SIN(N151/$J$7)&gt;0,$J$7*ACOS((SIN($D$4/$J$7)-SIN(G151/$J$7)*O151)/(COS(G151/$J$7)*SIN(P151/$J$7))),360-($J$7*ACOS((SIN($D$4/$J$7)-SIN(G151/$J$7)*O151)/(COS(G151/$J$7)*SIN(P151/$J$7)))))</f>
        <v>333.749224515687</v>
      </c>
      <c r="N151" s="68">
        <f>+F151-$D$3</f>
        <v>-20.060000000000002</v>
      </c>
      <c r="O151" s="69">
        <f>SIN(G151/$J$7)*SIN($D$4/$J$7)+COS(G151/$J$7)*COS($D$4/$J$7)*COS(N151/$J$7)</f>
        <v>0.7630799234439262</v>
      </c>
      <c r="P151" s="59">
        <f t="shared" si="8"/>
        <v>40.263525334625534</v>
      </c>
      <c r="Q151" s="38"/>
    </row>
    <row r="152" spans="1:17" ht="12" customHeight="1">
      <c r="A152" s="46">
        <f t="shared" si="6"/>
        <v>145</v>
      </c>
      <c r="B152" s="46" t="s">
        <v>324</v>
      </c>
      <c r="C152" s="46" t="s">
        <v>325</v>
      </c>
      <c r="D152" s="61" t="s">
        <v>70</v>
      </c>
      <c r="E152" s="61" t="s">
        <v>105</v>
      </c>
      <c r="F152" s="64">
        <v>72</v>
      </c>
      <c r="G152" s="64">
        <v>19</v>
      </c>
      <c r="H152" s="65">
        <f>IF(SIN(J152/$J$7)&gt;0,$J$7*ACOS((SIN(G152/$J$7)-SIN($D$4/$J$7)*K152)/(COS($D$4/$J$7)*SIN(L152/$J$7))),360-($J$7*ACOS((SIN(G152/$J$7)-SIN($D$4/$J$7)*K152)/(COS($D$4/$J$7)*SIN(L152/$J$7)))))</f>
        <v>101.93441370097268</v>
      </c>
      <c r="I152" s="66">
        <f>69.041*$J$7*(ACOS(SIN($D$4/$J$7)*SIN(G152/$J$7)+COS($D$4/$J$7)*COS(G152/$J$7)*COS(J152/$J$7)))</f>
        <v>2655.3247790865066</v>
      </c>
      <c r="J152" s="63">
        <f>+$D$3-F152</f>
        <v>40.06</v>
      </c>
      <c r="K152" s="63">
        <f>SIN($D$4/$J$7)*SIN(G152/$J$7)+COS($D$4/$J$7)*COS(G152/$J$7)*COS(J152/$J$7)</f>
        <v>0.7830413181741465</v>
      </c>
      <c r="L152" s="63">
        <f t="shared" si="7"/>
        <v>38.46011470121387</v>
      </c>
      <c r="M152" s="67">
        <f>IF(SIN(N152/$J$7)&gt;0,$J$7*ACOS((SIN($D$4/$J$7)-SIN(G152/$J$7)*O152)/(COS(G152/$J$7)*SIN(P152/$J$7))),360-($J$7*ACOS((SIN($D$4/$J$7)-SIN(G152/$J$7)*O152)/(COS(G152/$J$7)*SIN(P152/$J$7)))))</f>
        <v>300.41591191740673</v>
      </c>
      <c r="N152" s="68">
        <f>+F152-$D$3</f>
        <v>-40.06</v>
      </c>
      <c r="O152" s="69">
        <f>SIN(G152/$J$7)*SIN($D$4/$J$7)+COS(G152/$J$7)*COS($D$4/$J$7)*COS(N152/$J$7)</f>
        <v>0.7830413181741465</v>
      </c>
      <c r="P152" s="59">
        <f t="shared" si="8"/>
        <v>38.46011470121387</v>
      </c>
      <c r="Q152" s="38"/>
    </row>
    <row r="153" spans="1:17" ht="12" customHeight="1">
      <c r="A153" s="46">
        <f t="shared" si="6"/>
        <v>146</v>
      </c>
      <c r="B153" s="46" t="s">
        <v>326</v>
      </c>
      <c r="C153" s="46" t="s">
        <v>327</v>
      </c>
      <c r="D153" s="61" t="s">
        <v>70</v>
      </c>
      <c r="E153" s="61" t="s">
        <v>105</v>
      </c>
      <c r="F153" s="64">
        <v>70</v>
      </c>
      <c r="G153" s="64">
        <v>18.5</v>
      </c>
      <c r="H153" s="65">
        <f>IF(SIN(J153/$J$7)&gt;0,$J$7*ACOS((SIN(G153/$J$7)-SIN($D$4/$J$7)*K153)/(COS($D$4/$J$7)*SIN(L153/$J$7))),360-($J$7*ACOS((SIN(G153/$J$7)-SIN($D$4/$J$7)*K153)/(COS($D$4/$J$7)*SIN(L153/$J$7)))))</f>
        <v>101.1031642975297</v>
      </c>
      <c r="I153" s="66">
        <f>69.041*$J$7*(ACOS(SIN($D$4/$J$7)*SIN(G153/$J$7)+COS($D$4/$J$7)*COS(G153/$J$7)*COS(J153/$J$7)))</f>
        <v>2785.5610159466073</v>
      </c>
      <c r="J153" s="63">
        <f>+$D$3-F153</f>
        <v>42.06</v>
      </c>
      <c r="K153" s="63">
        <f>SIN($D$4/$J$7)*SIN(G153/$J$7)+COS($D$4/$J$7)*COS(G153/$J$7)*COS(J153/$J$7)</f>
        <v>0.7621434348422047</v>
      </c>
      <c r="L153" s="63">
        <f t="shared" si="7"/>
        <v>40.346475513775985</v>
      </c>
      <c r="M153" s="67">
        <f>IF(SIN(N153/$J$7)&gt;0,$J$7*ACOS((SIN($D$4/$J$7)-SIN(G153/$J$7)*O153)/(COS(G153/$J$7)*SIN(P153/$J$7))),360-($J$7*ACOS((SIN($D$4/$J$7)-SIN(G153/$J$7)*O153)/(COS(G153/$J$7)*SIN(P153/$J$7)))))</f>
        <v>300.41645995428956</v>
      </c>
      <c r="N153" s="68">
        <f>+F153-$D$3</f>
        <v>-42.06</v>
      </c>
      <c r="O153" s="69">
        <f>SIN(G153/$J$7)*SIN($D$4/$J$7)+COS(G153/$J$7)*COS($D$4/$J$7)*COS(N153/$J$7)</f>
        <v>0.7621434348422047</v>
      </c>
      <c r="P153" s="59">
        <f t="shared" si="8"/>
        <v>40.346475513775985</v>
      </c>
      <c r="Q153" s="38"/>
    </row>
    <row r="154" spans="1:17" ht="12" customHeight="1">
      <c r="A154" s="46">
        <f t="shared" si="6"/>
        <v>147</v>
      </c>
      <c r="B154" s="46" t="s">
        <v>328</v>
      </c>
      <c r="C154" s="46" t="s">
        <v>329</v>
      </c>
      <c r="D154" s="61" t="s">
        <v>118</v>
      </c>
      <c r="E154" s="61" t="s">
        <v>119</v>
      </c>
      <c r="F154" s="64">
        <v>74</v>
      </c>
      <c r="G154" s="64">
        <v>5</v>
      </c>
      <c r="H154" s="65">
        <f>IF(SIN(J154/$J$7)&gt;0,$J$7*ACOS((SIN(G154/$J$7)-SIN($D$4/$J$7)*K154)/(COS($D$4/$J$7)*SIN(L154/$J$7))),360-($J$7*ACOS((SIN(G154/$J$7)-SIN($D$4/$J$7)*K154)/(COS($D$4/$J$7)*SIN(L154/$J$7)))))</f>
        <v>120.43768230944646</v>
      </c>
      <c r="I154" s="66">
        <f>69.041*$J$7*(ACOS(SIN($D$4/$J$7)*SIN(G154/$J$7)+COS($D$4/$J$7)*COS(G154/$J$7)*COS(J154/$J$7)))</f>
        <v>3136.0647750478374</v>
      </c>
      <c r="J154" s="63">
        <f>+$D$3-F154</f>
        <v>38.06</v>
      </c>
      <c r="K154" s="63">
        <f>SIN($D$4/$J$7)*SIN(G154/$J$7)+COS($D$4/$J$7)*COS(G154/$J$7)*COS(J154/$J$7)</f>
        <v>0.7018643920227832</v>
      </c>
      <c r="L154" s="63">
        <f t="shared" si="7"/>
        <v>45.42322352005095</v>
      </c>
      <c r="M154" s="67">
        <f>IF(SIN(N154/$J$7)&gt;0,$J$7*ACOS((SIN($D$4/$J$7)-SIN(G154/$J$7)*O154)/(COS(G154/$J$7)*SIN(P154/$J$7))),360-($J$7*ACOS((SIN($D$4/$J$7)-SIN(G154/$J$7)*O154)/(COS(G154/$J$7)*SIN(P154/$J$7)))))</f>
        <v>313.8389601143609</v>
      </c>
      <c r="N154" s="68">
        <f>+F154-$D$3</f>
        <v>-38.06</v>
      </c>
      <c r="O154" s="69">
        <f>SIN(G154/$J$7)*SIN($D$4/$J$7)+COS(G154/$J$7)*COS($D$4/$J$7)*COS(N154/$J$7)</f>
        <v>0.7018643920227832</v>
      </c>
      <c r="P154" s="59">
        <f t="shared" si="8"/>
        <v>45.42322352005095</v>
      </c>
      <c r="Q154" s="38"/>
    </row>
    <row r="155" spans="1:17" ht="12" customHeight="1">
      <c r="A155" s="46">
        <f t="shared" si="6"/>
        <v>148</v>
      </c>
      <c r="B155" s="46" t="s">
        <v>330</v>
      </c>
      <c r="C155" s="46" t="s">
        <v>331</v>
      </c>
      <c r="D155" s="61" t="s">
        <v>70</v>
      </c>
      <c r="E155" s="61" t="s">
        <v>275</v>
      </c>
      <c r="F155" s="64">
        <v>81.7</v>
      </c>
      <c r="G155" s="64">
        <v>12.5</v>
      </c>
      <c r="H155" s="65">
        <f>IF(SIN(J155/$J$7)&gt;0,$J$7*ACOS((SIN(G155/$J$7)-SIN($D$4/$J$7)*K155)/(COS($D$4/$J$7)*SIN(L155/$J$7))),360-($J$7*ACOS((SIN(G155/$J$7)-SIN($D$4/$J$7)*K155)/(COS($D$4/$J$7)*SIN(L155/$J$7)))))</f>
        <v>120.0258054887879</v>
      </c>
      <c r="I155" s="66">
        <f>69.041*$J$7*(ACOS(SIN($D$4/$J$7)*SIN(G155/$J$7)+COS($D$4/$J$7)*COS(G155/$J$7)*COS(J155/$J$7)))</f>
        <v>2398.8827247790614</v>
      </c>
      <c r="J155" s="63">
        <f>+$D$3-F155</f>
        <v>30.36</v>
      </c>
      <c r="K155" s="63">
        <f>SIN($D$4/$J$7)*SIN(G155/$J$7)+COS($D$4/$J$7)*COS(G155/$J$7)*COS(J155/$J$7)</f>
        <v>0.8216890144740048</v>
      </c>
      <c r="L155" s="63">
        <f t="shared" si="7"/>
        <v>34.74577026374273</v>
      </c>
      <c r="M155" s="67">
        <f>IF(SIN(N155/$J$7)&gt;0,$J$7*ACOS((SIN($D$4/$J$7)-SIN(G155/$J$7)*O155)/(COS(G155/$J$7)*SIN(P155/$J$7))),360-($J$7*ACOS((SIN($D$4/$J$7)-SIN(G155/$J$7)*O155)/(COS(G155/$J$7)*SIN(P155/$J$7)))))</f>
        <v>312.34686933364725</v>
      </c>
      <c r="N155" s="68">
        <f>+F155-$D$3</f>
        <v>-30.36</v>
      </c>
      <c r="O155" s="69">
        <f>SIN(G155/$J$7)*SIN($D$4/$J$7)+COS(G155/$J$7)*COS($D$4/$J$7)*COS(N155/$J$7)</f>
        <v>0.8216890144740048</v>
      </c>
      <c r="P155" s="59">
        <f t="shared" si="8"/>
        <v>34.74577026374273</v>
      </c>
      <c r="Q155" s="38"/>
    </row>
    <row r="156" spans="1:17" ht="12" customHeight="1">
      <c r="A156" s="46">
        <f t="shared" si="6"/>
        <v>149</v>
      </c>
      <c r="B156" s="46" t="s">
        <v>332</v>
      </c>
      <c r="C156" s="46" t="s">
        <v>333</v>
      </c>
      <c r="D156" s="61" t="s">
        <v>70</v>
      </c>
      <c r="E156" s="61" t="s">
        <v>203</v>
      </c>
      <c r="F156" s="64">
        <v>81.1</v>
      </c>
      <c r="G156" s="64">
        <v>4</v>
      </c>
      <c r="H156" s="65">
        <f>IF(SIN(J156/$J$7)&gt;0,$J$7*ACOS((SIN(G156/$J$7)-SIN($D$4/$J$7)*K156)/(COS($D$4/$J$7)*SIN(L156/$J$7))),360-($J$7*ACOS((SIN(G156/$J$7)-SIN($D$4/$J$7)*K156)/(COS($D$4/$J$7)*SIN(L156/$J$7)))))</f>
        <v>128.93687053624953</v>
      </c>
      <c r="I156" s="66">
        <f>69.041*$J$7*(ACOS(SIN($D$4/$J$7)*SIN(G156/$J$7)+COS($D$4/$J$7)*COS(G156/$J$7)*COS(J156/$J$7)))</f>
        <v>2850.116936595631</v>
      </c>
      <c r="J156" s="63">
        <f>+$D$3-F156</f>
        <v>30.960000000000008</v>
      </c>
      <c r="K156" s="63">
        <f>SIN($D$4/$J$7)*SIN(G156/$J$7)+COS($D$4/$J$7)*COS(G156/$J$7)*COS(J156/$J$7)</f>
        <v>0.7514770502903141</v>
      </c>
      <c r="L156" s="63">
        <f t="shared" si="7"/>
        <v>41.281512964696795</v>
      </c>
      <c r="M156" s="67">
        <f>IF(SIN(N156/$J$7)&gt;0,$J$7*ACOS((SIN($D$4/$J$7)-SIN(G156/$J$7)*O156)/(COS(G156/$J$7)*SIN(P156/$J$7))),360-($J$7*ACOS((SIN($D$4/$J$7)-SIN(G156/$J$7)*O156)/(COS(G156/$J$7)*SIN(P156/$J$7)))))</f>
        <v>319.47069472721233</v>
      </c>
      <c r="N156" s="68">
        <f>+F156-$D$3</f>
        <v>-30.960000000000008</v>
      </c>
      <c r="O156" s="69">
        <f>SIN(G156/$J$7)*SIN($D$4/$J$7)+COS(G156/$J$7)*COS($D$4/$J$7)*COS(N156/$J$7)</f>
        <v>0.7514770502903141</v>
      </c>
      <c r="P156" s="59">
        <f t="shared" si="8"/>
        <v>41.281512964696795</v>
      </c>
      <c r="Q156" s="38"/>
    </row>
    <row r="157" spans="1:17" ht="12" customHeight="1">
      <c r="A157" s="46">
        <f t="shared" si="6"/>
        <v>150</v>
      </c>
      <c r="B157" s="46" t="s">
        <v>334</v>
      </c>
      <c r="C157" s="46" t="s">
        <v>335</v>
      </c>
      <c r="D157" s="61" t="s">
        <v>17</v>
      </c>
      <c r="E157" s="61" t="s">
        <v>336</v>
      </c>
      <c r="F157" s="64">
        <v>-127.5</v>
      </c>
      <c r="G157" s="64">
        <v>37.5</v>
      </c>
      <c r="H157" s="65">
        <f>IF(SIN(J157/$J$7)&gt;0,$J$7*ACOS((SIN(G157/$J$7)-SIN($D$4/$J$7)*K157)/(COS($D$4/$J$7)*SIN(L157/$J$7))),360-($J$7*ACOS((SIN(G157/$J$7)-SIN($D$4/$J$7)*K157)/(COS($D$4/$J$7)*SIN(L157/$J$7)))))</f>
        <v>316.8431129895767</v>
      </c>
      <c r="I157" s="66">
        <f>69.041*$J$7*(ACOS(SIN($D$4/$J$7)*SIN(G157/$J$7)+COS($D$4/$J$7)*COS(G157/$J$7)*COS(J157/$J$7)))</f>
        <v>6207.908744828555</v>
      </c>
      <c r="J157" s="63">
        <f>+$D$3-F157</f>
        <v>239.56</v>
      </c>
      <c r="K157" s="63">
        <f>SIN($D$4/$J$7)*SIN(G157/$J$7)+COS($D$4/$J$7)*COS(G157/$J$7)*COS(J157/$J$7)</f>
        <v>0.0014614779872839656</v>
      </c>
      <c r="L157" s="63">
        <f t="shared" si="7"/>
        <v>89.91626344966839</v>
      </c>
      <c r="M157" s="67">
        <f>IF(SIN(N157/$J$7)&gt;0,$J$7*ACOS((SIN($D$4/$J$7)-SIN(G157/$J$7)*O157)/(COS(G157/$J$7)*SIN(P157/$J$7))),360-($J$7*ACOS((SIN($D$4/$J$7)-SIN(G157/$J$7)*O157)/(COS(G157/$J$7)*SIN(P157/$J$7)))))</f>
        <v>45.93311406932866</v>
      </c>
      <c r="N157" s="68">
        <f>+F157-$D$3</f>
        <v>-239.56</v>
      </c>
      <c r="O157" s="69">
        <f>SIN(G157/$J$7)*SIN($D$4/$J$7)+COS(G157/$J$7)*COS($D$4/$J$7)*COS(N157/$J$7)</f>
        <v>0.0014614779872839656</v>
      </c>
      <c r="P157" s="59">
        <f t="shared" si="8"/>
        <v>89.91626344966839</v>
      </c>
      <c r="Q157" s="38"/>
    </row>
    <row r="158" spans="1:17" ht="12" customHeight="1">
      <c r="A158" s="46">
        <f t="shared" si="6"/>
        <v>151</v>
      </c>
      <c r="B158" s="46" t="s">
        <v>337</v>
      </c>
      <c r="C158" s="46" t="s">
        <v>338</v>
      </c>
      <c r="D158" s="61" t="s">
        <v>70</v>
      </c>
      <c r="E158" s="61" t="s">
        <v>275</v>
      </c>
      <c r="F158" s="64">
        <v>79.5</v>
      </c>
      <c r="G158" s="64">
        <v>9</v>
      </c>
      <c r="H158" s="65">
        <f>IF(SIN(J158/$J$7)&gt;0,$J$7*ACOS((SIN(G158/$J$7)-SIN($D$4/$J$7)*K158)/(COS($D$4/$J$7)*SIN(L158/$J$7))),360-($J$7*ACOS((SIN(G158/$J$7)-SIN($D$4/$J$7)*K158)/(COS($D$4/$J$7)*SIN(L158/$J$7)))))</f>
        <v>121.80890246826202</v>
      </c>
      <c r="I158" s="66">
        <f>69.041*$J$7*(ACOS(SIN($D$4/$J$7)*SIN(G158/$J$7)+COS($D$4/$J$7)*COS(G158/$J$7)*COS(J158/$J$7)))</f>
        <v>2673.190863013123</v>
      </c>
      <c r="J158" s="63">
        <f>+$D$3-F158</f>
        <v>32.56</v>
      </c>
      <c r="K158" s="63">
        <f>SIN($D$4/$J$7)*SIN(G158/$J$7)+COS($D$4/$J$7)*COS(G158/$J$7)*COS(J158/$J$7)</f>
        <v>0.7802242303859092</v>
      </c>
      <c r="L158" s="63">
        <f t="shared" si="7"/>
        <v>38.71888968892575</v>
      </c>
      <c r="M158" s="67">
        <f>IF(SIN(N158/$J$7)&gt;0,$J$7*ACOS((SIN($D$4/$J$7)-SIN(G158/$J$7)*O158)/(COS(G158/$J$7)*SIN(P158/$J$7))),360-($J$7*ACOS((SIN($D$4/$J$7)-SIN(G158/$J$7)*O158)/(COS(G158/$J$7)*SIN(P158/$J$7)))))</f>
        <v>314.1874051756259</v>
      </c>
      <c r="N158" s="68">
        <f>+F158-$D$3</f>
        <v>-32.56</v>
      </c>
      <c r="O158" s="69">
        <f>SIN(G158/$J$7)*SIN($D$4/$J$7)+COS(G158/$J$7)*COS($D$4/$J$7)*COS(N158/$J$7)</f>
        <v>0.7802242303859092</v>
      </c>
      <c r="P158" s="59">
        <f t="shared" si="8"/>
        <v>38.71888968892575</v>
      </c>
      <c r="Q158" s="38"/>
    </row>
    <row r="159" spans="1:17" ht="12" customHeight="1">
      <c r="A159" s="46">
        <f t="shared" si="6"/>
        <v>152</v>
      </c>
      <c r="B159" s="46" t="s">
        <v>339</v>
      </c>
      <c r="C159" s="46" t="s">
        <v>340</v>
      </c>
      <c r="D159" s="61" t="s">
        <v>70</v>
      </c>
      <c r="E159" s="61" t="s">
        <v>275</v>
      </c>
      <c r="F159" s="64">
        <v>87</v>
      </c>
      <c r="G159" s="64">
        <v>14</v>
      </c>
      <c r="H159" s="65">
        <f>IF(SIN(J159/$J$7)&gt;0,$J$7*ACOS((SIN(G159/$J$7)-SIN($D$4/$J$7)*K159)/(COS($D$4/$J$7)*SIN(L159/$J$7))),360-($J$7*ACOS((SIN(G159/$J$7)-SIN($D$4/$J$7)*K159)/(COS($D$4/$J$7)*SIN(L159/$J$7)))))</f>
        <v>124.65943608856782</v>
      </c>
      <c r="I159" s="66">
        <f>69.041*$J$7*(ACOS(SIN($D$4/$J$7)*SIN(G159/$J$7)+COS($D$4/$J$7)*COS(G159/$J$7)*COS(J159/$J$7)))</f>
        <v>2069.630464894683</v>
      </c>
      <c r="J159" s="63">
        <f>+$D$3-F159</f>
        <v>25.060000000000002</v>
      </c>
      <c r="K159" s="63">
        <f>SIN($D$4/$J$7)*SIN(G159/$J$7)+COS($D$4/$J$7)*COS(G159/$J$7)*COS(J159/$J$7)</f>
        <v>0.8662275110628942</v>
      </c>
      <c r="L159" s="63">
        <f t="shared" si="7"/>
        <v>29.97683209824138</v>
      </c>
      <c r="M159" s="67">
        <f>IF(SIN(N159/$J$7)&gt;0,$J$7*ACOS((SIN($D$4/$J$7)-SIN(G159/$J$7)*O159)/(COS(G159/$J$7)*SIN(P159/$J$7))),360-($J$7*ACOS((SIN($D$4/$J$7)-SIN(G159/$J$7)*O159)/(COS(G159/$J$7)*SIN(P159/$J$7)))))</f>
        <v>315.04916245349784</v>
      </c>
      <c r="N159" s="68">
        <f>+F159-$D$3</f>
        <v>-25.060000000000002</v>
      </c>
      <c r="O159" s="69">
        <f>SIN(G159/$J$7)*SIN($D$4/$J$7)+COS(G159/$J$7)*COS($D$4/$J$7)*COS(N159/$J$7)</f>
        <v>0.8662275110628942</v>
      </c>
      <c r="P159" s="59">
        <f t="shared" si="8"/>
        <v>29.97683209824138</v>
      </c>
      <c r="Q159" s="38"/>
    </row>
    <row r="160" spans="1:17" ht="12" customHeight="1">
      <c r="A160" s="46">
        <f t="shared" si="6"/>
        <v>153</v>
      </c>
      <c r="B160" s="46" t="s">
        <v>341</v>
      </c>
      <c r="C160" s="46" t="s">
        <v>342</v>
      </c>
      <c r="D160" s="61" t="s">
        <v>17</v>
      </c>
      <c r="E160" s="61" t="s">
        <v>18</v>
      </c>
      <c r="F160" s="64">
        <f>-100.5</f>
        <v>-100.5</v>
      </c>
      <c r="G160" s="64">
        <v>13.8</v>
      </c>
      <c r="H160" s="65">
        <f>IF(SIN(J160/$J$7)&gt;0,$J$7*ACOS((SIN(G160/$J$7)-SIN($D$4/$J$7)*K160)/(COS($D$4/$J$7)*SIN(L160/$J$7))),360-($J$7*ACOS((SIN(G160/$J$7)-SIN($D$4/$J$7)*K160)/(COS($D$4/$J$7)*SIN(L160/$J$7)))))</f>
        <v>321.2476384325812</v>
      </c>
      <c r="I160" s="66">
        <f>69.041*$J$7*(ACOS(SIN($D$4/$J$7)*SIN(G160/$J$7)+COS($D$4/$J$7)*COS(G160/$J$7)*COS(J160/$J$7)))</f>
        <v>8518.858237744525</v>
      </c>
      <c r="J160" s="63">
        <f>+$D$3-F160</f>
        <v>212.56</v>
      </c>
      <c r="K160" s="63">
        <f>SIN($D$4/$J$7)*SIN(G160/$J$7)+COS($D$4/$J$7)*COS(G160/$J$7)*COS(J160/$J$7)</f>
        <v>-0.5503116465085742</v>
      </c>
      <c r="L160" s="63">
        <f t="shared" si="7"/>
        <v>123.38839584803993</v>
      </c>
      <c r="M160" s="67">
        <f>IF(SIN(N160/$J$7)&gt;0,$J$7*ACOS((SIN($D$4/$J$7)-SIN(G160/$J$7)*O160)/(COS(G160/$J$7)*SIN(P160/$J$7))),360-($J$7*ACOS((SIN($D$4/$J$7)-SIN(G160/$J$7)*O160)/(COS(G160/$J$7)*SIN(P160/$J$7)))))</f>
        <v>32.49186828765212</v>
      </c>
      <c r="N160" s="68">
        <f>+F160-$D$3</f>
        <v>-212.56</v>
      </c>
      <c r="O160" s="69">
        <f>SIN(G160/$J$7)*SIN($D$4/$J$7)+COS(G160/$J$7)*COS($D$4/$J$7)*COS(N160/$J$7)</f>
        <v>-0.5503116465085742</v>
      </c>
      <c r="P160" s="59">
        <f t="shared" si="8"/>
        <v>123.38839584803993</v>
      </c>
      <c r="Q160" s="38"/>
    </row>
    <row r="161" spans="1:17" ht="12" customHeight="1">
      <c r="A161" s="46">
        <f t="shared" si="6"/>
        <v>154</v>
      </c>
      <c r="B161" s="46" t="s">
        <v>343</v>
      </c>
      <c r="C161" s="46" t="s">
        <v>344</v>
      </c>
      <c r="D161" s="61" t="s">
        <v>13</v>
      </c>
      <c r="E161" s="61" t="s">
        <v>14</v>
      </c>
      <c r="F161" s="64">
        <f>-12.5</f>
        <v>-12.5</v>
      </c>
      <c r="G161" s="64">
        <v>41.9</v>
      </c>
      <c r="H161" s="65">
        <f>IF(SIN(J161/$J$7)&gt;0,$J$7*ACOS((SIN(G161/$J$7)-SIN($D$4/$J$7)*K161)/(COS($D$4/$J$7)*SIN(L161/$J$7))),360-($J$7*ACOS((SIN(G161/$J$7)-SIN($D$4/$J$7)*K161)/(COS($D$4/$J$7)*SIN(L161/$J$7)))))</f>
        <v>37.81076843730088</v>
      </c>
      <c r="I161" s="66">
        <f>69.041*$J$7*(ACOS(SIN($D$4/$J$7)*SIN(G161/$J$7)+COS($D$4/$J$7)*COS(G161/$J$7)*COS(J161/$J$7)))</f>
        <v>6145.633629937329</v>
      </c>
      <c r="J161" s="63">
        <f>+$D$3-F161</f>
        <v>124.56</v>
      </c>
      <c r="K161" s="63">
        <f>SIN($D$4/$J$7)*SIN(G161/$J$7)+COS($D$4/$J$7)*COS(G161/$J$7)*COS(J161/$J$7)</f>
        <v>0.017203533244467495</v>
      </c>
      <c r="L161" s="63">
        <f t="shared" si="7"/>
        <v>89.01426152485232</v>
      </c>
      <c r="M161" s="67">
        <f>IF(SIN(N161/$J$7)&gt;0,$J$7*ACOS((SIN($D$4/$J$7)-SIN(G161/$J$7)*O161)/(COS(G161/$J$7)*SIN(P161/$J$7))),360-($J$7*ACOS((SIN($D$4/$J$7)-SIN(G161/$J$7)*O161)/(COS(G161/$J$7)*SIN(P161/$J$7)))))</f>
        <v>316.6512898068625</v>
      </c>
      <c r="N161" s="68">
        <f>+F161-$D$3</f>
        <v>-124.56</v>
      </c>
      <c r="O161" s="69">
        <f>SIN(G161/$J$7)*SIN($D$4/$J$7)+COS(G161/$J$7)*COS($D$4/$J$7)*COS(N161/$J$7)</f>
        <v>0.017203533244467495</v>
      </c>
      <c r="P161" s="59">
        <f t="shared" si="8"/>
        <v>89.01426152485232</v>
      </c>
      <c r="Q161" s="38"/>
    </row>
    <row r="162" spans="1:17" ht="12" customHeight="1">
      <c r="A162" s="46">
        <f t="shared" si="6"/>
        <v>155</v>
      </c>
      <c r="B162" s="46" t="s">
        <v>345</v>
      </c>
      <c r="C162" s="46" t="s">
        <v>346</v>
      </c>
      <c r="D162" s="61" t="s">
        <v>17</v>
      </c>
      <c r="E162" s="61" t="s">
        <v>60</v>
      </c>
      <c r="F162" s="64">
        <f>-45</f>
        <v>-45</v>
      </c>
      <c r="G162" s="64">
        <v>26</v>
      </c>
      <c r="H162" s="65">
        <f>IF(SIN(J162/$J$7)&gt;0,$J$7*ACOS((SIN(G162/$J$7)-SIN($D$4/$J$7)*K162)/(COS($D$4/$J$7)*SIN(L162/$J$7))),360-($J$7*ACOS((SIN(G162/$J$7)-SIN($D$4/$J$7)*K162)/(COS($D$4/$J$7)*SIN(L162/$J$7)))))</f>
        <v>23.062979941170934</v>
      </c>
      <c r="I162" s="66">
        <f>69.041*$J$7*(ACOS(SIN($D$4/$J$7)*SIN(G162/$J$7)+COS($D$4/$J$7)*COS(G162/$J$7)*COS(J162/$J$7)))</f>
        <v>8049.237349221249</v>
      </c>
      <c r="J162" s="63">
        <f>+$D$3-F162</f>
        <v>157.06</v>
      </c>
      <c r="K162" s="63">
        <f>SIN($D$4/$J$7)*SIN(G162/$J$7)+COS($D$4/$J$7)*COS(G162/$J$7)*COS(J162/$J$7)</f>
        <v>-0.4475458639647863</v>
      </c>
      <c r="L162" s="63">
        <f t="shared" si="7"/>
        <v>116.58633781696746</v>
      </c>
      <c r="M162" s="67">
        <f>IF(SIN(N162/$J$7)&gt;0,$J$7*ACOS((SIN($D$4/$J$7)-SIN(G162/$J$7)*O162)/(COS(G162/$J$7)*SIN(P162/$J$7))),360-($J$7*ACOS((SIN($D$4/$J$7)-SIN(G162/$J$7)*O162)/(COS(G162/$J$7)*SIN(P162/$J$7)))))</f>
        <v>338.70055793477945</v>
      </c>
      <c r="N162" s="68">
        <f>+F162-$D$3</f>
        <v>-157.06</v>
      </c>
      <c r="O162" s="69">
        <f>SIN(G162/$J$7)*SIN($D$4/$J$7)+COS(G162/$J$7)*COS($D$4/$J$7)*COS(N162/$J$7)</f>
        <v>-0.4475458639647863</v>
      </c>
      <c r="P162" s="59">
        <f t="shared" si="8"/>
        <v>116.58633781696746</v>
      </c>
      <c r="Q162" s="38"/>
    </row>
    <row r="163" spans="1:17" ht="12" customHeight="1">
      <c r="A163" s="46">
        <f t="shared" si="6"/>
        <v>156</v>
      </c>
      <c r="B163" s="46" t="s">
        <v>347</v>
      </c>
      <c r="C163" s="46" t="s">
        <v>348</v>
      </c>
      <c r="D163" s="61" t="s">
        <v>13</v>
      </c>
      <c r="E163" s="61" t="s">
        <v>14</v>
      </c>
      <c r="F163" s="64">
        <f>-13</f>
        <v>-13</v>
      </c>
      <c r="G163" s="64">
        <v>42</v>
      </c>
      <c r="H163" s="65">
        <f>IF(SIN(J163/$J$7)&gt;0,$J$7*ACOS((SIN(G163/$J$7)-SIN($D$4/$J$7)*K163)/(COS($D$4/$J$7)*SIN(L163/$J$7))),360-($J$7*ACOS((SIN(G163/$J$7)-SIN($D$4/$J$7)*K163)/(COS($D$4/$J$7)*SIN(L163/$J$7)))))</f>
        <v>37.471146008341194</v>
      </c>
      <c r="I163" s="66">
        <f>69.041*$J$7*(ACOS(SIN($D$4/$J$7)*SIN(G163/$J$7)+COS($D$4/$J$7)*COS(G163/$J$7)*COS(J163/$J$7)))</f>
        <v>6158.169342212282</v>
      </c>
      <c r="J163" s="63">
        <f>+$D$3-F163</f>
        <v>125.06</v>
      </c>
      <c r="K163" s="63">
        <f>SIN($D$4/$J$7)*SIN(G163/$J$7)+COS($D$4/$J$7)*COS(G163/$J$7)*COS(J163/$J$7)</f>
        <v>0.014034942522352378</v>
      </c>
      <c r="L163" s="63">
        <f t="shared" si="7"/>
        <v>89.19583062545853</v>
      </c>
      <c r="M163" s="67">
        <f>IF(SIN(N163/$J$7)&gt;0,$J$7*ACOS((SIN($D$4/$J$7)-SIN(G163/$J$7)*O163)/(COS(G163/$J$7)*SIN(P163/$J$7))),360-($J$7*ACOS((SIN($D$4/$J$7)-SIN(G163/$J$7)*O163)/(COS(G163/$J$7)*SIN(P163/$J$7)))))</f>
        <v>316.98022735278795</v>
      </c>
      <c r="N163" s="68">
        <f>+F163-$D$3</f>
        <v>-125.06</v>
      </c>
      <c r="O163" s="69">
        <f>SIN(G163/$J$7)*SIN($D$4/$J$7)+COS(G163/$J$7)*COS($D$4/$J$7)*COS(N163/$J$7)</f>
        <v>0.014034942522352378</v>
      </c>
      <c r="P163" s="59">
        <f t="shared" si="8"/>
        <v>89.19583062545853</v>
      </c>
      <c r="Q163" s="38"/>
    </row>
    <row r="164" spans="1:17" ht="12" customHeight="1">
      <c r="A164" s="46">
        <f t="shared" si="6"/>
        <v>157</v>
      </c>
      <c r="B164" s="46" t="s">
        <v>349</v>
      </c>
      <c r="C164" s="46" t="s">
        <v>350</v>
      </c>
      <c r="D164" s="61" t="s">
        <v>13</v>
      </c>
      <c r="E164" s="61" t="s">
        <v>14</v>
      </c>
      <c r="F164" s="64">
        <f>-9</f>
        <v>-9</v>
      </c>
      <c r="G164" s="64">
        <v>40</v>
      </c>
      <c r="H164" s="65">
        <f>IF(SIN(J164/$J$7)&gt;0,$J$7*ACOS((SIN(G164/$J$7)-SIN($D$4/$J$7)*K164)/(COS($D$4/$J$7)*SIN(L164/$J$7))),360-($J$7*ACOS((SIN(G164/$J$7)-SIN($D$4/$J$7)*K164)/(COS($D$4/$J$7)*SIN(L164/$J$7)))))</f>
        <v>41.028492417901774</v>
      </c>
      <c r="I164" s="66">
        <f>69.041*$J$7*(ACOS(SIN($D$4/$J$7)*SIN(G164/$J$7)+COS($D$4/$J$7)*COS(G164/$J$7)*COS(J164/$J$7)))</f>
        <v>6111.382193217295</v>
      </c>
      <c r="J164" s="63">
        <f>+$D$3-F164</f>
        <v>121.06</v>
      </c>
      <c r="K164" s="63">
        <f>SIN($D$4/$J$7)*SIN(G164/$J$7)+COS($D$4/$J$7)*COS(G164/$J$7)*COS(J164/$J$7)</f>
        <v>0.02586012690098677</v>
      </c>
      <c r="L164" s="63">
        <f t="shared" si="7"/>
        <v>88.51815867697883</v>
      </c>
      <c r="M164" s="67">
        <f>IF(SIN(N164/$J$7)&gt;0,$J$7*ACOS((SIN($D$4/$J$7)-SIN(G164/$J$7)*O164)/(COS(G164/$J$7)*SIN(P164/$J$7))),360-($J$7*ACOS((SIN($D$4/$J$7)-SIN(G164/$J$7)*O164)/(COS(G164/$J$7)*SIN(P164/$J$7)))))</f>
        <v>314.42596990870646</v>
      </c>
      <c r="N164" s="68">
        <f>+F164-$D$3</f>
        <v>-121.06</v>
      </c>
      <c r="O164" s="69">
        <f>SIN(G164/$J$7)*SIN($D$4/$J$7)+COS(G164/$J$7)*COS($D$4/$J$7)*COS(N164/$J$7)</f>
        <v>0.02586012690098677</v>
      </c>
      <c r="P164" s="59">
        <f t="shared" si="8"/>
        <v>88.51815867697883</v>
      </c>
      <c r="Q164" s="38"/>
    </row>
    <row r="165" spans="1:17" ht="12" customHeight="1">
      <c r="A165" s="46">
        <f t="shared" si="6"/>
        <v>158</v>
      </c>
      <c r="B165" s="46" t="s">
        <v>351</v>
      </c>
      <c r="C165" s="46" t="s">
        <v>352</v>
      </c>
      <c r="D165" s="61" t="s">
        <v>24</v>
      </c>
      <c r="E165" s="61" t="s">
        <v>84</v>
      </c>
      <c r="F165" s="64">
        <f>-43</f>
        <v>-43</v>
      </c>
      <c r="G165" s="64">
        <v>12</v>
      </c>
      <c r="H165" s="65">
        <f>IF(SIN(J165/$J$7)&gt;0,$J$7*ACOS((SIN(G165/$J$7)-SIN($D$4/$J$7)*K165)/(COS($D$4/$J$7)*SIN(L165/$J$7))),360-($J$7*ACOS((SIN(G165/$J$7)-SIN($D$4/$J$7)*K165)/(COS($D$4/$J$7)*SIN(L165/$J$7)))))</f>
        <v>31.868367913885965</v>
      </c>
      <c r="I165" s="66">
        <f>69.041*$J$7*(ACOS(SIN($D$4/$J$7)*SIN(G165/$J$7)+COS($D$4/$J$7)*COS(G165/$J$7)*COS(J165/$J$7)))</f>
        <v>8880.648048871824</v>
      </c>
      <c r="J165" s="63">
        <f>+$D$3-F165</f>
        <v>155.06</v>
      </c>
      <c r="K165" s="63">
        <f>SIN($D$4/$J$7)*SIN(G165/$J$7)+COS($D$4/$J$7)*COS(G165/$J$7)*COS(J165/$J$7)</f>
        <v>-0.6242697990355079</v>
      </c>
      <c r="L165" s="63">
        <f t="shared" si="7"/>
        <v>128.62861269205</v>
      </c>
      <c r="M165" s="67">
        <f>IF(SIN(N165/$J$7)&gt;0,$J$7*ACOS((SIN($D$4/$J$7)-SIN(G165/$J$7)*O165)/(COS(G165/$J$7)*SIN(P165/$J$7))),360-($J$7*ACOS((SIN($D$4/$J$7)-SIN(G165/$J$7)*O165)/(COS(G165/$J$7)*SIN(P165/$J$7)))))</f>
        <v>333.2664538688686</v>
      </c>
      <c r="N165" s="68">
        <f>+F165-$D$3</f>
        <v>-155.06</v>
      </c>
      <c r="O165" s="69">
        <f>SIN(G165/$J$7)*SIN($D$4/$J$7)+COS(G165/$J$7)*COS($D$4/$J$7)*COS(N165/$J$7)</f>
        <v>-0.6242697990355079</v>
      </c>
      <c r="P165" s="59">
        <f t="shared" si="8"/>
        <v>128.62861269205</v>
      </c>
      <c r="Q165" s="38"/>
    </row>
    <row r="166" spans="1:17" ht="12" customHeight="1">
      <c r="A166" s="46">
        <f t="shared" si="6"/>
        <v>159</v>
      </c>
      <c r="B166" s="46" t="s">
        <v>353</v>
      </c>
      <c r="C166" s="46" t="s">
        <v>354</v>
      </c>
      <c r="D166" s="61" t="s">
        <v>70</v>
      </c>
      <c r="E166" s="61" t="s">
        <v>105</v>
      </c>
      <c r="F166" s="64">
        <v>61.8</v>
      </c>
      <c r="G166" s="64">
        <v>12</v>
      </c>
      <c r="H166" s="65">
        <f>IF(SIN(J166/$J$7)&gt;0,$J$7*ACOS((SIN(G166/$J$7)-SIN($D$4/$J$7)*K166)/(COS($D$4/$J$7)*SIN(L166/$J$7))),360-($J$7*ACOS((SIN(G166/$J$7)-SIN($D$4/$J$7)*K166)/(COS($D$4/$J$7)*SIN(L166/$J$7)))))</f>
        <v>102.90437202983901</v>
      </c>
      <c r="I166" s="66">
        <f>69.041*$J$7*(ACOS(SIN($D$4/$J$7)*SIN(G166/$J$7)+COS($D$4/$J$7)*COS(G166/$J$7)*COS(J166/$J$7)))</f>
        <v>3486.6559502771165</v>
      </c>
      <c r="J166" s="63">
        <f>+$D$3-F166</f>
        <v>50.260000000000005</v>
      </c>
      <c r="K166" s="63">
        <f>SIN($D$4/$J$7)*SIN(G166/$J$7)+COS($D$4/$J$7)*COS(G166/$J$7)*COS(J166/$J$7)</f>
        <v>0.6360615518862776</v>
      </c>
      <c r="L166" s="63">
        <f t="shared" si="7"/>
        <v>50.50123767438358</v>
      </c>
      <c r="M166" s="67">
        <f>IF(SIN(N166/$J$7)&gt;0,$J$7*ACOS((SIN($D$4/$J$7)-SIN(G166/$J$7)*O166)/(COS(G166/$J$7)*SIN(P166/$J$7))),360-($J$7*ACOS((SIN($D$4/$J$7)-SIN(G166/$J$7)*O166)/(COS(G166/$J$7)*SIN(P166/$J$7)))))</f>
        <v>303.84945035846243</v>
      </c>
      <c r="N166" s="68">
        <f>+F166-$D$3</f>
        <v>-50.260000000000005</v>
      </c>
      <c r="O166" s="69">
        <f>SIN(G166/$J$7)*SIN($D$4/$J$7)+COS(G166/$J$7)*COS($D$4/$J$7)*COS(N166/$J$7)</f>
        <v>0.6360615518862776</v>
      </c>
      <c r="P166" s="59">
        <f t="shared" si="8"/>
        <v>50.50123767438358</v>
      </c>
      <c r="Q166" s="38"/>
    </row>
    <row r="167" spans="1:17" ht="12" customHeight="1">
      <c r="A167" s="46">
        <f t="shared" si="6"/>
        <v>160</v>
      </c>
      <c r="B167" s="46" t="s">
        <v>355</v>
      </c>
      <c r="C167" s="46" t="s">
        <v>356</v>
      </c>
      <c r="D167" s="61" t="s">
        <v>24</v>
      </c>
      <c r="E167" s="61" t="s">
        <v>51</v>
      </c>
      <c r="F167" s="64">
        <v>15</v>
      </c>
      <c r="G167" s="64">
        <v>12</v>
      </c>
      <c r="H167" s="65">
        <f>IF(SIN(J167/$J$7)&gt;0,$J$7*ACOS((SIN(G167/$J$7)-SIN($D$4/$J$7)*K167)/(COS($D$4/$J$7)*SIN(L167/$J$7))),360-($J$7*ACOS((SIN(G167/$J$7)-SIN($D$4/$J$7)*K167)/(COS($D$4/$J$7)*SIN(L167/$J$7)))))</f>
        <v>76.12861397416401</v>
      </c>
      <c r="I167" s="66">
        <f>69.041*$J$7*(ACOS(SIN($D$4/$J$7)*SIN(G167/$J$7)+COS($D$4/$J$7)*COS(G167/$J$7)*COS(J167/$J$7)))</f>
        <v>6155.493773111354</v>
      </c>
      <c r="J167" s="63">
        <f>+$D$3-F167</f>
        <v>97.06</v>
      </c>
      <c r="K167" s="63">
        <f>SIN($D$4/$J$7)*SIN(G167/$J$7)+COS($D$4/$J$7)*COS(G167/$J$7)*COS(J167/$J$7)</f>
        <v>0.014711245958223762</v>
      </c>
      <c r="L167" s="63">
        <f t="shared" si="7"/>
        <v>89.1570772890218</v>
      </c>
      <c r="M167" s="67">
        <f>IF(SIN(N167/$J$7)&gt;0,$J$7*ACOS((SIN($D$4/$J$7)-SIN(G167/$J$7)*O167)/(COS(G167/$J$7)*SIN(P167/$J$7))),360-($J$7*ACOS((SIN($D$4/$J$7)-SIN(G167/$J$7)*O167)/(COS(G167/$J$7)*SIN(P167/$J$7)))))</f>
        <v>304.19042627696774</v>
      </c>
      <c r="N167" s="68">
        <f>+F167-$D$3</f>
        <v>-97.06</v>
      </c>
      <c r="O167" s="69">
        <f>SIN(G167/$J$7)*SIN($D$4/$J$7)+COS(G167/$J$7)*COS($D$4/$J$7)*COS(N167/$J$7)</f>
        <v>0.014711245958223762</v>
      </c>
      <c r="P167" s="59">
        <f t="shared" si="8"/>
        <v>89.1570772890218</v>
      </c>
      <c r="Q167" s="38"/>
    </row>
    <row r="168" spans="1:17" ht="12" customHeight="1">
      <c r="A168" s="46">
        <f t="shared" si="6"/>
        <v>161</v>
      </c>
      <c r="B168" s="46" t="s">
        <v>357</v>
      </c>
      <c r="C168" s="46" t="s">
        <v>358</v>
      </c>
      <c r="D168" s="61" t="s">
        <v>70</v>
      </c>
      <c r="E168" s="61" t="s">
        <v>105</v>
      </c>
      <c r="F168" s="64">
        <v>61</v>
      </c>
      <c r="G168" s="64">
        <v>14</v>
      </c>
      <c r="H168" s="65">
        <f>IF(SIN(J168/$J$7)&gt;0,$J$7*ACOS((SIN(G168/$J$7)-SIN($D$4/$J$7)*K168)/(COS($D$4/$J$7)*SIN(L168/$J$7))),360-($J$7*ACOS((SIN(G168/$J$7)-SIN($D$4/$J$7)*K168)/(COS($D$4/$J$7)*SIN(L168/$J$7)))))</f>
        <v>100.17238496417782</v>
      </c>
      <c r="I168" s="66">
        <f>69.041*$J$7*(ACOS(SIN($D$4/$J$7)*SIN(G168/$J$7)+COS($D$4/$J$7)*COS(G168/$J$7)*COS(J168/$J$7)))</f>
        <v>3456.414306155479</v>
      </c>
      <c r="J168" s="63">
        <f>+$D$3-F168</f>
        <v>51.06</v>
      </c>
      <c r="K168" s="63">
        <f>SIN($D$4/$J$7)*SIN(G168/$J$7)+COS($D$4/$J$7)*COS(G168/$J$7)*COS(J168/$J$7)</f>
        <v>0.6419420576077106</v>
      </c>
      <c r="L168" s="63">
        <f t="shared" si="7"/>
        <v>50.063213252349755</v>
      </c>
      <c r="M168" s="67">
        <f>IF(SIN(N168/$J$7)&gt;0,$J$7*ACOS((SIN($D$4/$J$7)-SIN(G168/$J$7)*O168)/(COS(G168/$J$7)*SIN(P168/$J$7))),360-($J$7*ACOS((SIN($D$4/$J$7)-SIN(G168/$J$7)*O168)/(COS(G168/$J$7)*SIN(P168/$J$7)))))</f>
        <v>302.28347549922813</v>
      </c>
      <c r="N168" s="68">
        <f>+F168-$D$3</f>
        <v>-51.06</v>
      </c>
      <c r="O168" s="69">
        <f>SIN(G168/$J$7)*SIN($D$4/$J$7)+COS(G168/$J$7)*COS($D$4/$J$7)*COS(N168/$J$7)</f>
        <v>0.6419420576077106</v>
      </c>
      <c r="P168" s="59">
        <f t="shared" si="8"/>
        <v>50.063213252349755</v>
      </c>
      <c r="Q168" s="38"/>
    </row>
    <row r="169" spans="1:17" ht="12" customHeight="1">
      <c r="A169" s="46">
        <f t="shared" si="6"/>
        <v>162</v>
      </c>
      <c r="B169" s="46" t="s">
        <v>359</v>
      </c>
      <c r="C169" s="46" t="s">
        <v>360</v>
      </c>
      <c r="D169" s="61" t="s">
        <v>70</v>
      </c>
      <c r="E169" s="61" t="s">
        <v>105</v>
      </c>
      <c r="F169" s="64">
        <v>61.3</v>
      </c>
      <c r="G169" s="64">
        <v>15.4</v>
      </c>
      <c r="H169" s="65">
        <f>IF(SIN(J169/$J$7)&gt;0,$J$7*ACOS((SIN(G169/$J$7)-SIN($D$4/$J$7)*K169)/(COS($D$4/$J$7)*SIN(L169/$J$7))),360-($J$7*ACOS((SIN(G169/$J$7)-SIN($D$4/$J$7)*K169)/(COS($D$4/$J$7)*SIN(L169/$J$7)))))</f>
        <v>98.81025750889687</v>
      </c>
      <c r="I169" s="66">
        <f>69.041*$J$7*(ACOS(SIN($D$4/$J$7)*SIN(G169/$J$7)+COS($D$4/$J$7)*COS(G169/$J$7)*COS(J169/$J$7)))</f>
        <v>3388.444281669149</v>
      </c>
      <c r="J169" s="63">
        <f>+$D$3-F169</f>
        <v>50.760000000000005</v>
      </c>
      <c r="K169" s="63">
        <f>SIN($D$4/$J$7)*SIN(G169/$J$7)+COS($D$4/$J$7)*COS(G169/$J$7)*COS(J169/$J$7)</f>
        <v>0.6550214256469626</v>
      </c>
      <c r="L169" s="63">
        <f t="shared" si="7"/>
        <v>49.07872541923131</v>
      </c>
      <c r="M169" s="67">
        <f>IF(SIN(N169/$J$7)&gt;0,$J$7*ACOS((SIN($D$4/$J$7)-SIN(G169/$J$7)*O169)/(COS(G169/$J$7)*SIN(P169/$J$7))),360-($J$7*ACOS((SIN($D$4/$J$7)-SIN(G169/$J$7)*O169)/(COS(G169/$J$7)*SIN(P169/$J$7)))))</f>
        <v>301.32393817861345</v>
      </c>
      <c r="N169" s="68">
        <f>+F169-$D$3</f>
        <v>-50.760000000000005</v>
      </c>
      <c r="O169" s="69">
        <f>SIN(G169/$J$7)*SIN($D$4/$J$7)+COS(G169/$J$7)*COS($D$4/$J$7)*COS(N169/$J$7)</f>
        <v>0.6550214256469626</v>
      </c>
      <c r="P169" s="59">
        <f t="shared" si="8"/>
        <v>49.07872541923131</v>
      </c>
      <c r="Q169" s="38"/>
    </row>
    <row r="170" spans="1:17" ht="12" customHeight="1">
      <c r="A170" s="46">
        <f t="shared" si="6"/>
        <v>163</v>
      </c>
      <c r="B170" s="46" t="s">
        <v>361</v>
      </c>
      <c r="C170" s="46" t="s">
        <v>362</v>
      </c>
      <c r="D170" s="61" t="s">
        <v>70</v>
      </c>
      <c r="E170" s="61" t="s">
        <v>105</v>
      </c>
      <c r="F170" s="64">
        <v>61.3</v>
      </c>
      <c r="G170" s="64">
        <v>13.3</v>
      </c>
      <c r="H170" s="65">
        <f>IF(SIN(J170/$J$7)&gt;0,$J$7*ACOS((SIN(G170/$J$7)-SIN($D$4/$J$7)*K170)/(COS($D$4/$J$7)*SIN(L170/$J$7))),360-($J$7*ACOS((SIN(G170/$J$7)-SIN($D$4/$J$7)*K170)/(COS($D$4/$J$7)*SIN(L170/$J$7)))))</f>
        <v>101.14553214042364</v>
      </c>
      <c r="I170" s="66">
        <f>69.041*$J$7*(ACOS(SIN($D$4/$J$7)*SIN(G170/$J$7)+COS($D$4/$J$7)*COS(G170/$J$7)*COS(J170/$J$7)))</f>
        <v>3465.4602193208025</v>
      </c>
      <c r="J170" s="63">
        <f>+$D$3-F170</f>
        <v>50.760000000000005</v>
      </c>
      <c r="K170" s="63">
        <f>SIN($D$4/$J$7)*SIN(G170/$J$7)+COS($D$4/$J$7)*COS(G170/$J$7)*COS(J170/$J$7)</f>
        <v>0.6401869916726266</v>
      </c>
      <c r="L170" s="63">
        <f t="shared" si="7"/>
        <v>50.194235589299154</v>
      </c>
      <c r="M170" s="67">
        <f>IF(SIN(N170/$J$7)&gt;0,$J$7*ACOS((SIN($D$4/$J$7)-SIN(G170/$J$7)*O170)/(COS(G170/$J$7)*SIN(P170/$J$7))),360-($J$7*ACOS((SIN($D$4/$J$7)-SIN(G170/$J$7)*O170)/(COS(G170/$J$7)*SIN(P170/$J$7)))))</f>
        <v>302.83653674124076</v>
      </c>
      <c r="N170" s="68">
        <f>+F170-$D$3</f>
        <v>-50.760000000000005</v>
      </c>
      <c r="O170" s="69">
        <f>SIN(G170/$J$7)*SIN($D$4/$J$7)+COS(G170/$J$7)*COS($D$4/$J$7)*COS(N170/$J$7)</f>
        <v>0.6401869916726266</v>
      </c>
      <c r="P170" s="59">
        <f t="shared" si="8"/>
        <v>50.194235589299154</v>
      </c>
      <c r="Q170" s="38"/>
    </row>
    <row r="171" spans="1:17" ht="12" customHeight="1">
      <c r="A171" s="46">
        <f t="shared" si="6"/>
        <v>164</v>
      </c>
      <c r="B171" s="46" t="s">
        <v>363</v>
      </c>
      <c r="C171" s="46" t="s">
        <v>364</v>
      </c>
      <c r="D171" s="61" t="s">
        <v>17</v>
      </c>
      <c r="E171" s="61" t="s">
        <v>336</v>
      </c>
      <c r="F171" s="64">
        <f>-139.8</f>
        <v>-139.8</v>
      </c>
      <c r="G171" s="64">
        <v>35.7</v>
      </c>
      <c r="H171" s="65">
        <f>IF(SIN(J171/$J$7)&gt;0,$J$7*ACOS((SIN(G171/$J$7)-SIN($D$4/$J$7)*K171)/(COS($D$4/$J$7)*SIN(L171/$J$7))),360-($J$7*ACOS((SIN(G171/$J$7)-SIN($D$4/$J$7)*K171)/(COS($D$4/$J$7)*SIN(L171/$J$7)))))</f>
        <v>309.05062656227034</v>
      </c>
      <c r="I171" s="66">
        <f>69.041*$J$7*(ACOS(SIN($D$4/$J$7)*SIN(G171/$J$7)+COS($D$4/$J$7)*COS(G171/$J$7)*COS(J171/$J$7)))</f>
        <v>5770.550977353738</v>
      </c>
      <c r="J171" s="63">
        <f>+$D$3-F171</f>
        <v>251.86</v>
      </c>
      <c r="K171" s="63">
        <f>SIN($D$4/$J$7)*SIN(G171/$J$7)+COS($D$4/$J$7)*COS(G171/$J$7)*COS(J171/$J$7)</f>
        <v>0.11178964031688149</v>
      </c>
      <c r="L171" s="63">
        <f t="shared" si="7"/>
        <v>83.58150920979907</v>
      </c>
      <c r="M171" s="67">
        <f>IF(SIN(N171/$J$7)&gt;0,$J$7*ACOS((SIN($D$4/$J$7)-SIN(G171/$J$7)*O171)/(COS(G171/$J$7)*SIN(P171/$J$7))),360-($J$7*ACOS((SIN($D$4/$J$7)-SIN(G171/$J$7)*O171)/(COS(G171/$J$7)*SIN(P171/$J$7)))))</f>
        <v>52.842489611710484</v>
      </c>
      <c r="N171" s="68">
        <f>+F171-$D$3</f>
        <v>-251.86</v>
      </c>
      <c r="O171" s="69">
        <f>SIN(G171/$J$7)*SIN($D$4/$J$7)+COS(G171/$J$7)*COS($D$4/$J$7)*COS(N171/$J$7)</f>
        <v>0.11178964031688149</v>
      </c>
      <c r="P171" s="59">
        <f t="shared" si="8"/>
        <v>83.58150920979907</v>
      </c>
      <c r="Q171" s="38"/>
    </row>
    <row r="172" spans="1:17" ht="12" customHeight="1">
      <c r="A172" s="46">
        <f t="shared" si="6"/>
        <v>165</v>
      </c>
      <c r="B172" s="46" t="s">
        <v>365</v>
      </c>
      <c r="C172" s="46" t="s">
        <v>366</v>
      </c>
      <c r="D172" s="61" t="s">
        <v>17</v>
      </c>
      <c r="E172" s="61" t="s">
        <v>227</v>
      </c>
      <c r="F172" s="64">
        <f>-154</f>
        <v>-154</v>
      </c>
      <c r="G172" s="64">
        <v>25</v>
      </c>
      <c r="H172" s="65">
        <f>IF(SIN(J172/$J$7)&gt;0,$J$7*ACOS((SIN(G172/$J$7)-SIN($D$4/$J$7)*K172)/(COS($D$4/$J$7)*SIN(L172/$J$7))),360-($J$7*ACOS((SIN(G172/$J$7)-SIN($D$4/$J$7)*K172)/(COS($D$4/$J$7)*SIN(L172/$J$7)))))</f>
        <v>293.15192930196054</v>
      </c>
      <c r="I172" s="66">
        <f>69.041*$J$7*(ACOS(SIN($D$4/$J$7)*SIN(G172/$J$7)+COS($D$4/$J$7)*COS(G172/$J$7)*COS(J172/$J$7)))</f>
        <v>5491.047893942518</v>
      </c>
      <c r="J172" s="63">
        <f>+$D$3-F172</f>
        <v>266.06</v>
      </c>
      <c r="K172" s="63">
        <f>SIN($D$4/$J$7)*SIN(G172/$J$7)+COS($D$4/$J$7)*COS(G172/$J$7)*COS(J172/$J$7)</f>
        <v>0.18166668505182615</v>
      </c>
      <c r="L172" s="63">
        <f t="shared" si="7"/>
        <v>79.53314543448847</v>
      </c>
      <c r="M172" s="67">
        <f>IF(SIN(N172/$J$7)&gt;0,$J$7*ACOS((SIN($D$4/$J$7)-SIN(G172/$J$7)*O172)/(COS(G172/$J$7)*SIN(P172/$J$7))),360-($J$7*ACOS((SIN($D$4/$J$7)-SIN(G172/$J$7)*O172)/(COS(G172/$J$7)*SIN(P172/$J$7)))))</f>
        <v>57.7258870380112</v>
      </c>
      <c r="N172" s="68">
        <f>+F172-$D$3</f>
        <v>-266.06</v>
      </c>
      <c r="O172" s="69">
        <f>SIN(G172/$J$7)*SIN($D$4/$J$7)+COS(G172/$J$7)*COS($D$4/$J$7)*COS(N172/$J$7)</f>
        <v>0.18166668505182615</v>
      </c>
      <c r="P172" s="59">
        <f t="shared" si="8"/>
        <v>79.53314543448847</v>
      </c>
      <c r="Q172" s="38"/>
    </row>
    <row r="173" spans="1:17" ht="12" customHeight="1">
      <c r="A173" s="46">
        <f t="shared" si="6"/>
        <v>166</v>
      </c>
      <c r="B173" s="46" t="s">
        <v>367</v>
      </c>
      <c r="C173" s="46" t="s">
        <v>368</v>
      </c>
      <c r="D173" s="61" t="s">
        <v>17</v>
      </c>
      <c r="E173" s="61" t="s">
        <v>227</v>
      </c>
      <c r="F173" s="64">
        <f>-141</f>
        <v>-141</v>
      </c>
      <c r="G173" s="64">
        <v>27.5</v>
      </c>
      <c r="H173" s="65">
        <f>IF(SIN(J173/$J$7)&gt;0,$J$7*ACOS((SIN(G173/$J$7)-SIN($D$4/$J$7)*K173)/(COS($D$4/$J$7)*SIN(L173/$J$7))),360-($J$7*ACOS((SIN(G173/$J$7)-SIN($D$4/$J$7)*K173)/(COS($D$4/$J$7)*SIN(L173/$J$7)))))</f>
        <v>301.87560104949023</v>
      </c>
      <c r="I173" s="66">
        <f>69.041*$J$7*(ACOS(SIN($D$4/$J$7)*SIN(G173/$J$7)+COS($D$4/$J$7)*COS(G173/$J$7)*COS(J173/$J$7)))</f>
        <v>6056.208717000409</v>
      </c>
      <c r="J173" s="63">
        <f>+$D$3-F173</f>
        <v>253.06</v>
      </c>
      <c r="K173" s="63">
        <f>SIN($D$4/$J$7)*SIN(G173/$J$7)+COS($D$4/$J$7)*COS(G173/$J$7)*COS(J173/$J$7)</f>
        <v>0.039800132209220934</v>
      </c>
      <c r="L173" s="63">
        <f t="shared" si="7"/>
        <v>87.71901793138004</v>
      </c>
      <c r="M173" s="67">
        <f>IF(SIN(N173/$J$7)&gt;0,$J$7*ACOS((SIN($D$4/$J$7)-SIN(G173/$J$7)*O173)/(COS(G173/$J$7)*SIN(P173/$J$7))),360-($J$7*ACOS((SIN($D$4/$J$7)-SIN(G173/$J$7)*O173)/(COS(G173/$J$7)*SIN(P173/$J$7)))))</f>
        <v>52.92765423626909</v>
      </c>
      <c r="N173" s="68">
        <f>+F173-$D$3</f>
        <v>-253.06</v>
      </c>
      <c r="O173" s="69">
        <f>SIN(G173/$J$7)*SIN($D$4/$J$7)+COS(G173/$J$7)*COS($D$4/$J$7)*COS(N173/$J$7)</f>
        <v>0.039800132209220934</v>
      </c>
      <c r="P173" s="59">
        <f t="shared" si="8"/>
        <v>87.71901793138004</v>
      </c>
      <c r="Q173" s="38"/>
    </row>
    <row r="174" spans="1:17" ht="12" customHeight="1">
      <c r="A174" s="46">
        <f t="shared" si="6"/>
        <v>167</v>
      </c>
      <c r="B174" s="46" t="s">
        <v>369</v>
      </c>
      <c r="C174" s="46" t="s">
        <v>370</v>
      </c>
      <c r="D174" s="61" t="s">
        <v>17</v>
      </c>
      <c r="E174" s="61" t="s">
        <v>174</v>
      </c>
      <c r="F174" s="64">
        <f>-107</f>
        <v>-107</v>
      </c>
      <c r="G174" s="64">
        <v>48</v>
      </c>
      <c r="H174" s="65">
        <f>IF(SIN(J174/$J$7)&gt;0,$J$7*ACOS((SIN(G174/$J$7)-SIN($D$4/$J$7)*K174)/(COS($D$4/$J$7)*SIN(L174/$J$7))),360-($J$7*ACOS((SIN(G174/$J$7)-SIN($D$4/$J$7)*K174)/(COS($D$4/$J$7)*SIN(L174/$J$7)))))</f>
        <v>335.05508289259683</v>
      </c>
      <c r="I174" s="66">
        <f>69.041*$J$7*(ACOS(SIN($D$4/$J$7)*SIN(G174/$J$7)+COS($D$4/$J$7)*COS(G174/$J$7)*COS(J174/$J$7)))</f>
        <v>6301.92113429148</v>
      </c>
      <c r="J174" s="63">
        <f>+$D$3-F174</f>
        <v>219.06</v>
      </c>
      <c r="K174" s="63">
        <f>SIN($D$4/$J$7)*SIN(G174/$J$7)+COS($D$4/$J$7)*COS(G174/$J$7)*COS(J174/$J$7)</f>
        <v>-0.022302633457830845</v>
      </c>
      <c r="L174" s="63">
        <f t="shared" si="7"/>
        <v>91.2779527279657</v>
      </c>
      <c r="M174" s="67">
        <f>IF(SIN(N174/$J$7)&gt;0,$J$7*ACOS((SIN($D$4/$J$7)-SIN(G174/$J$7)*O174)/(COS(G174/$J$7)*SIN(P174/$J$7))),360-($J$7*ACOS((SIN($D$4/$J$7)-SIN(G174/$J$7)*O174)/(COS(G174/$J$7)*SIN(P174/$J$7)))))</f>
        <v>31.687542425330953</v>
      </c>
      <c r="N174" s="68">
        <f>+F174-$D$3</f>
        <v>-219.06</v>
      </c>
      <c r="O174" s="69">
        <f>SIN(G174/$J$7)*SIN($D$4/$J$7)+COS(G174/$J$7)*COS($D$4/$J$7)*COS(N174/$J$7)</f>
        <v>-0.022302633457830845</v>
      </c>
      <c r="P174" s="59">
        <f t="shared" si="8"/>
        <v>91.2779527279657</v>
      </c>
      <c r="Q174" s="38"/>
    </row>
    <row r="175" spans="1:17" ht="12" customHeight="1">
      <c r="A175" s="46">
        <f t="shared" si="6"/>
        <v>168</v>
      </c>
      <c r="B175" s="46" t="s">
        <v>371</v>
      </c>
      <c r="C175" s="46" t="s">
        <v>372</v>
      </c>
      <c r="D175" s="61" t="s">
        <v>13</v>
      </c>
      <c r="E175" s="61" t="s">
        <v>373</v>
      </c>
      <c r="F175" s="64">
        <f>-16</f>
        <v>-16</v>
      </c>
      <c r="G175" s="64">
        <v>78</v>
      </c>
      <c r="H175" s="65">
        <f>IF(SIN(J175/$J$7)&gt;0,$J$7*ACOS((SIN(G175/$J$7)-SIN($D$4/$J$7)*K175)/(COS($D$4/$J$7)*SIN(L175/$J$7))),360-($J$7*ACOS((SIN(G175/$J$7)-SIN($D$4/$J$7)*K175)/(COS($D$4/$J$7)*SIN(L175/$J$7)))))</f>
        <v>10.467902064921875</v>
      </c>
      <c r="I175" s="66">
        <f>69.041*$J$7*(ACOS(SIN($D$4/$J$7)*SIN(G175/$J$7)+COS($D$4/$J$7)*COS(G175/$J$7)*COS(J175/$J$7)))</f>
        <v>4438.866353325679</v>
      </c>
      <c r="J175" s="63">
        <f>+$D$3-F175</f>
        <v>128.06</v>
      </c>
      <c r="K175" s="63">
        <f>SIN($D$4/$J$7)*SIN(G175/$J$7)+COS($D$4/$J$7)*COS(G175/$J$7)*COS(J175/$J$7)</f>
        <v>0.4337661300772261</v>
      </c>
      <c r="L175" s="63">
        <f t="shared" si="7"/>
        <v>64.29319322323951</v>
      </c>
      <c r="M175" s="67">
        <f>IF(SIN(N175/$J$7)&gt;0,$J$7*ACOS((SIN($D$4/$J$7)-SIN(G175/$J$7)*O175)/(COS(G175/$J$7)*SIN(P175/$J$7))),360-($J$7*ACOS((SIN($D$4/$J$7)-SIN(G175/$J$7)*O175)/(COS(G175/$J$7)*SIN(P175/$J$7)))))</f>
        <v>313.25810056959943</v>
      </c>
      <c r="N175" s="68">
        <f>+F175-$D$3</f>
        <v>-128.06</v>
      </c>
      <c r="O175" s="69">
        <f>SIN(G175/$J$7)*SIN($D$4/$J$7)+COS(G175/$J$7)*COS($D$4/$J$7)*COS(N175/$J$7)</f>
        <v>0.4337661300772261</v>
      </c>
      <c r="P175" s="59">
        <f t="shared" si="8"/>
        <v>64.29319322323951</v>
      </c>
      <c r="Q175" s="38"/>
    </row>
    <row r="176" spans="1:17" ht="12" customHeight="1">
      <c r="A176" s="46">
        <f t="shared" si="6"/>
        <v>169</v>
      </c>
      <c r="B176" s="46" t="s">
        <v>374</v>
      </c>
      <c r="C176" s="46" t="s">
        <v>375</v>
      </c>
      <c r="D176" s="61" t="s">
        <v>13</v>
      </c>
      <c r="E176" s="61" t="s">
        <v>373</v>
      </c>
      <c r="F176" s="64">
        <v>8</v>
      </c>
      <c r="G176" s="64">
        <v>71</v>
      </c>
      <c r="H176" s="65">
        <f>IF(SIN(J176/$J$7)&gt;0,$J$7*ACOS((SIN(G176/$J$7)-SIN($D$4/$J$7)*K176)/(COS($D$4/$J$7)*SIN(L176/$J$7))),360-($J$7*ACOS((SIN(G176/$J$7)-SIN($D$4/$J$7)*K176)/(COS($D$4/$J$7)*SIN(L176/$J$7)))))</f>
        <v>20.79262551405497</v>
      </c>
      <c r="I176" s="66">
        <f>69.041*$J$7*(ACOS(SIN($D$4/$J$7)*SIN(G176/$J$7)+COS($D$4/$J$7)*COS(G176/$J$7)*COS(J176/$J$7)))</f>
        <v>4337.818930391711</v>
      </c>
      <c r="J176" s="63">
        <f>+$D$3-F176</f>
        <v>104.06</v>
      </c>
      <c r="K176" s="63">
        <f>SIN($D$4/$J$7)*SIN(G176/$J$7)+COS($D$4/$J$7)*COS(G176/$J$7)*COS(J176/$J$7)</f>
        <v>0.4566382618277033</v>
      </c>
      <c r="L176" s="63">
        <f t="shared" si="7"/>
        <v>62.829607485287156</v>
      </c>
      <c r="M176" s="67">
        <f>IF(SIN(N176/$J$7)&gt;0,$J$7*ACOS((SIN($D$4/$J$7)-SIN(G176/$J$7)*O176)/(COS(G176/$J$7)*SIN(P176/$J$7))),360-($J$7*ACOS((SIN($D$4/$J$7)-SIN(G176/$J$7)*O176)/(COS(G176/$J$7)*SIN(P176/$J$7)))))</f>
        <v>294.6722310192621</v>
      </c>
      <c r="N176" s="68">
        <f>+F176-$D$3</f>
        <v>-104.06</v>
      </c>
      <c r="O176" s="69">
        <f>SIN(G176/$J$7)*SIN($D$4/$J$7)+COS(G176/$J$7)*COS($D$4/$J$7)*COS(N176/$J$7)</f>
        <v>0.4566382618277033</v>
      </c>
      <c r="P176" s="59">
        <f t="shared" si="8"/>
        <v>62.829607485287156</v>
      </c>
      <c r="Q176" s="38"/>
    </row>
    <row r="177" spans="1:17" ht="12" customHeight="1">
      <c r="A177" s="46">
        <f t="shared" si="6"/>
        <v>170</v>
      </c>
      <c r="B177" s="46" t="s">
        <v>376</v>
      </c>
      <c r="C177" s="46" t="s">
        <v>377</v>
      </c>
      <c r="D177" s="61" t="s">
        <v>17</v>
      </c>
      <c r="E177" s="61" t="s">
        <v>76</v>
      </c>
      <c r="F177" s="64">
        <f>-36</f>
        <v>-36</v>
      </c>
      <c r="G177" s="64">
        <v>32</v>
      </c>
      <c r="H177" s="65">
        <f>IF(SIN(J177/$J$7)&gt;0,$J$7*ACOS((SIN(G177/$J$7)-SIN($D$4/$J$7)*K177)/(COS($D$4/$J$7)*SIN(L177/$J$7))),360-($J$7*ACOS((SIN(G177/$J$7)-SIN($D$4/$J$7)*K177)/(COS($D$4/$J$7)*SIN(L177/$J$7)))))</f>
        <v>28.124667534423235</v>
      </c>
      <c r="I177" s="66">
        <f>69.041*$J$7*(ACOS(SIN($D$4/$J$7)*SIN(G177/$J$7)+COS($D$4/$J$7)*COS(G177/$J$7)*COS(J177/$J$7)))</f>
        <v>7447.610720690472</v>
      </c>
      <c r="J177" s="63">
        <f>+$D$3-F177</f>
        <v>148.06</v>
      </c>
      <c r="K177" s="63">
        <f>SIN($D$4/$J$7)*SIN(G177/$J$7)+COS($D$4/$J$7)*COS(G177/$J$7)*COS(J177/$J$7)</f>
        <v>-0.30689634877128924</v>
      </c>
      <c r="L177" s="63">
        <f t="shared" si="7"/>
        <v>107.8722892294502</v>
      </c>
      <c r="M177" s="67">
        <f>IF(SIN(N177/$J$7)&gt;0,$J$7*ACOS((SIN($D$4/$J$7)-SIN(G177/$J$7)*O177)/(COS(G177/$J$7)*SIN(P177/$J$7))),360-($J$7*ACOS((SIN($D$4/$J$7)-SIN(G177/$J$7)*O177)/(COS(G177/$J$7)*SIN(P177/$J$7)))))</f>
        <v>332.4028764568627</v>
      </c>
      <c r="N177" s="68">
        <f>+F177-$D$3</f>
        <v>-148.06</v>
      </c>
      <c r="O177" s="69">
        <f>SIN(G177/$J$7)*SIN($D$4/$J$7)+COS(G177/$J$7)*COS($D$4/$J$7)*COS(N177/$J$7)</f>
        <v>-0.30689634877128924</v>
      </c>
      <c r="P177" s="59">
        <f t="shared" si="8"/>
        <v>107.8722892294502</v>
      </c>
      <c r="Q177" s="38"/>
    </row>
    <row r="178" spans="1:17" ht="12" customHeight="1">
      <c r="A178" s="46">
        <f t="shared" si="6"/>
        <v>171</v>
      </c>
      <c r="B178" s="46" t="s">
        <v>378</v>
      </c>
      <c r="C178" s="46" t="s">
        <v>379</v>
      </c>
      <c r="D178" s="61" t="s">
        <v>70</v>
      </c>
      <c r="E178" s="61" t="s">
        <v>105</v>
      </c>
      <c r="F178" s="64">
        <v>75</v>
      </c>
      <c r="G178" s="64">
        <v>20</v>
      </c>
      <c r="H178" s="65">
        <f>IF(SIN(J178/$J$7)&gt;0,$J$7*ACOS((SIN(G178/$J$7)-SIN($D$4/$J$7)*K178)/(COS($D$4/$J$7)*SIN(L178/$J$7))),360-($J$7*ACOS((SIN(G178/$J$7)-SIN($D$4/$J$7)*K178)/(COS($D$4/$J$7)*SIN(L178/$J$7)))))</f>
        <v>102.87011666765183</v>
      </c>
      <c r="I178" s="66">
        <f>69.041*$J$7*(ACOS(SIN($D$4/$J$7)*SIN(G178/$J$7)+COS($D$4/$J$7)*COS(G178/$J$7)*COS(J178/$J$7)))</f>
        <v>2451.9149000860302</v>
      </c>
      <c r="J178" s="63">
        <f>+$D$3-F178</f>
        <v>37.06</v>
      </c>
      <c r="K178" s="63">
        <f>SIN($D$4/$J$7)*SIN(G178/$J$7)+COS($D$4/$J$7)*COS(G178/$J$7)*COS(J178/$J$7)</f>
        <v>0.8139746550403758</v>
      </c>
      <c r="L178" s="63">
        <f t="shared" si="7"/>
        <v>35.51389609197477</v>
      </c>
      <c r="M178" s="67">
        <f>IF(SIN(N178/$J$7)&gt;0,$J$7*ACOS((SIN($D$4/$J$7)-SIN(G178/$J$7)*O178)/(COS(G178/$J$7)*SIN(P178/$J$7))),360-($J$7*ACOS((SIN($D$4/$J$7)-SIN(G178/$J$7)*O178)/(COS(G178/$J$7)*SIN(P178/$J$7)))))</f>
        <v>300.1619162813142</v>
      </c>
      <c r="N178" s="68">
        <f>+F178-$D$3</f>
        <v>-37.06</v>
      </c>
      <c r="O178" s="69">
        <f>SIN(G178/$J$7)*SIN($D$4/$J$7)+COS(G178/$J$7)*COS($D$4/$J$7)*COS(N178/$J$7)</f>
        <v>0.8139746550403758</v>
      </c>
      <c r="P178" s="59">
        <f t="shared" si="8"/>
        <v>35.51389609197477</v>
      </c>
      <c r="Q178" s="38"/>
    </row>
    <row r="179" spans="1:17" ht="12" customHeight="1">
      <c r="A179" s="46">
        <f t="shared" si="6"/>
        <v>172</v>
      </c>
      <c r="B179" s="46" t="s">
        <v>380</v>
      </c>
      <c r="C179" s="46" t="s">
        <v>381</v>
      </c>
      <c r="D179" s="61" t="s">
        <v>37</v>
      </c>
      <c r="E179" s="61" t="s">
        <v>227</v>
      </c>
      <c r="F179" s="64">
        <f>-146</f>
        <v>-146</v>
      </c>
      <c r="G179" s="64">
        <v>16</v>
      </c>
      <c r="H179" s="65">
        <f>IF(SIN(J179/$J$7)&gt;0,$J$7*ACOS((SIN(G179/$J$7)-SIN($D$4/$J$7)*K179)/(COS($D$4/$J$7)*SIN(L179/$J$7))),360-($J$7*ACOS((SIN(G179/$J$7)-SIN($D$4/$J$7)*K179)/(COS($D$4/$J$7)*SIN(L179/$J$7)))))</f>
        <v>289.8560201393536</v>
      </c>
      <c r="I179" s="66">
        <f>69.041*$J$7*(ACOS(SIN($D$4/$J$7)*SIN(G179/$J$7)+COS($D$4/$J$7)*COS(G179/$J$7)*COS(J179/$J$7)))</f>
        <v>6266.723993986467</v>
      </c>
      <c r="J179" s="63">
        <f>+$D$3-F179</f>
        <v>258.06</v>
      </c>
      <c r="K179" s="63">
        <f>SIN($D$4/$J$7)*SIN(G179/$J$7)+COS($D$4/$J$7)*COS(G179/$J$7)*COS(J179/$J$7)</f>
        <v>-0.013406382904113084</v>
      </c>
      <c r="L179" s="63">
        <f t="shared" si="7"/>
        <v>90.76815217025343</v>
      </c>
      <c r="M179" s="67">
        <f>IF(SIN(N179/$J$7)&gt;0,$J$7*ACOS((SIN($D$4/$J$7)-SIN(G179/$J$7)*O179)/(COS(G179/$J$7)*SIN(P179/$J$7))),360-($J$7*ACOS((SIN($D$4/$J$7)-SIN(G179/$J$7)*O179)/(COS(G179/$J$7)*SIN(P179/$J$7)))))</f>
        <v>54.63151142593193</v>
      </c>
      <c r="N179" s="68">
        <f>+F179-$D$3</f>
        <v>-258.06</v>
      </c>
      <c r="O179" s="69">
        <f>SIN(G179/$J$7)*SIN($D$4/$J$7)+COS(G179/$J$7)*COS($D$4/$J$7)*COS(N179/$J$7)</f>
        <v>-0.013406382904113084</v>
      </c>
      <c r="P179" s="59">
        <f t="shared" si="8"/>
        <v>90.76815217025343</v>
      </c>
      <c r="Q179" s="38"/>
    </row>
    <row r="180" spans="1:17" ht="12" customHeight="1">
      <c r="A180" s="46">
        <f t="shared" si="6"/>
        <v>173</v>
      </c>
      <c r="B180" s="46" t="s">
        <v>382</v>
      </c>
      <c r="C180" s="46" t="s">
        <v>383</v>
      </c>
      <c r="D180" s="61" t="s">
        <v>37</v>
      </c>
      <c r="E180" s="61" t="s">
        <v>177</v>
      </c>
      <c r="F180" s="64">
        <v>176</v>
      </c>
      <c r="G180" s="64">
        <v>0.5</v>
      </c>
      <c r="H180" s="65">
        <f>IF(SIN(J180/$J$7)&gt;0,$J$7*ACOS((SIN(G180/$J$7)-SIN($D$4/$J$7)*K180)/(COS($D$4/$J$7)*SIN(L180/$J$7))),360-($J$7*ACOS((SIN(G180/$J$7)-SIN($D$4/$J$7)*K180)/(COS($D$4/$J$7)*SIN(L180/$J$7)))))</f>
        <v>255.30921649537305</v>
      </c>
      <c r="I180" s="66">
        <f>69.041*$J$7*(ACOS(SIN($D$4/$J$7)*SIN(G180/$J$7)+COS($D$4/$J$7)*COS(G180/$J$7)*COS(J180/$J$7)))</f>
        <v>4710.447263239396</v>
      </c>
      <c r="J180" s="63">
        <f>+$D$3-F180</f>
        <v>-63.94</v>
      </c>
      <c r="K180" s="63">
        <f>SIN($D$4/$J$7)*SIN(G180/$J$7)+COS($D$4/$J$7)*COS(G180/$J$7)*COS(J180/$J$7)</f>
        <v>0.3709333178687252</v>
      </c>
      <c r="L180" s="63">
        <f t="shared" si="7"/>
        <v>68.22681107225267</v>
      </c>
      <c r="M180" s="67">
        <f>IF(SIN(N180/$J$7)&gt;0,$J$7*ACOS((SIN($D$4/$J$7)-SIN(G180/$J$7)*O180)/(COS(G180/$J$7)*SIN(P180/$J$7))),360-($J$7*ACOS((SIN($D$4/$J$7)-SIN(G180/$J$7)*O180)/(COS(G180/$J$7)*SIN(P180/$J$7)))))</f>
        <v>53.725276325503266</v>
      </c>
      <c r="N180" s="68">
        <f>+F180-$D$3</f>
        <v>63.94</v>
      </c>
      <c r="O180" s="69">
        <f>SIN(G180/$J$7)*SIN($D$4/$J$7)+COS(G180/$J$7)*COS($D$4/$J$7)*COS(N180/$J$7)</f>
        <v>0.3709333178687252</v>
      </c>
      <c r="P180" s="59">
        <f t="shared" si="8"/>
        <v>68.22681107225267</v>
      </c>
      <c r="Q180" s="38"/>
    </row>
    <row r="181" spans="1:17" ht="12" customHeight="1">
      <c r="A181" s="46">
        <f t="shared" si="6"/>
        <v>174</v>
      </c>
      <c r="B181" s="46" t="s">
        <v>384</v>
      </c>
      <c r="C181" s="46" t="s">
        <v>385</v>
      </c>
      <c r="D181" s="61" t="s">
        <v>37</v>
      </c>
      <c r="E181" s="61" t="s">
        <v>227</v>
      </c>
      <c r="F181" s="64">
        <f>-145</f>
        <v>-145</v>
      </c>
      <c r="G181" s="64">
        <v>14</v>
      </c>
      <c r="H181" s="65">
        <f>IF(SIN(J181/$J$7)&gt;0,$J$7*ACOS((SIN(G181/$J$7)-SIN($D$4/$J$7)*K181)/(COS($D$4/$J$7)*SIN(L181/$J$7))),360-($J$7*ACOS((SIN(G181/$J$7)-SIN($D$4/$J$7)*K181)/(COS($D$4/$J$7)*SIN(L181/$J$7)))))</f>
        <v>288.7877108253426</v>
      </c>
      <c r="I181" s="66">
        <f>69.041*$J$7*(ACOS(SIN($D$4/$J$7)*SIN(G181/$J$7)+COS($D$4/$J$7)*COS(G181/$J$7)*COS(J181/$J$7)))</f>
        <v>6401.181688674391</v>
      </c>
      <c r="J181" s="63">
        <f>+$D$3-F181</f>
        <v>257.06</v>
      </c>
      <c r="K181" s="63">
        <f>SIN($D$4/$J$7)*SIN(G181/$J$7)+COS($D$4/$J$7)*COS(G181/$J$7)*COS(J181/$J$7)</f>
        <v>-0.04737941525761108</v>
      </c>
      <c r="L181" s="63">
        <f t="shared" si="7"/>
        <v>92.7156571989744</v>
      </c>
      <c r="M181" s="67">
        <f>IF(SIN(N181/$J$7)&gt;0,$J$7*ACOS((SIN($D$4/$J$7)-SIN(G181/$J$7)*O181)/(COS(G181/$J$7)*SIN(P181/$J$7))),360-($J$7*ACOS((SIN($D$4/$J$7)-SIN(G181/$J$7)*O181)/(COS(G181/$J$7)*SIN(P181/$J$7)))))</f>
        <v>54.405126161819354</v>
      </c>
      <c r="N181" s="68">
        <f>+F181-$D$3</f>
        <v>-257.06</v>
      </c>
      <c r="O181" s="69">
        <f>SIN(G181/$J$7)*SIN($D$4/$J$7)+COS(G181/$J$7)*COS($D$4/$J$7)*COS(N181/$J$7)</f>
        <v>-0.04737941525761108</v>
      </c>
      <c r="P181" s="59">
        <f t="shared" si="8"/>
        <v>92.7156571989744</v>
      </c>
      <c r="Q181" s="38"/>
    </row>
    <row r="182" spans="1:17" ht="12" customHeight="1">
      <c r="A182" s="46">
        <f t="shared" si="6"/>
        <v>175</v>
      </c>
      <c r="B182" s="46" t="s">
        <v>386</v>
      </c>
      <c r="C182" s="46" t="s">
        <v>387</v>
      </c>
      <c r="D182" s="61" t="s">
        <v>37</v>
      </c>
      <c r="E182" s="61" t="s">
        <v>177</v>
      </c>
      <c r="F182" s="64">
        <v>170</v>
      </c>
      <c r="G182" s="64">
        <v>17</v>
      </c>
      <c r="H182" s="65">
        <f>IF(SIN(J182/$J$7)&gt;0,$J$7*ACOS((SIN(G182/$J$7)-SIN($D$4/$J$7)*K182)/(COS($D$4/$J$7)*SIN(L182/$J$7))),360-($J$7*ACOS((SIN(G182/$J$7)-SIN($D$4/$J$7)*K182)/(COS($D$4/$J$7)*SIN(L182/$J$7)))))</f>
        <v>267.394828353765</v>
      </c>
      <c r="I182" s="66">
        <f>69.041*$J$7*(ACOS(SIN($D$4/$J$7)*SIN(G182/$J$7)+COS($D$4/$J$7)*COS(G182/$J$7)*COS(J182/$J$7)))</f>
        <v>3743.6184774263997</v>
      </c>
      <c r="J182" s="63">
        <f>+$D$3-F182</f>
        <v>-57.94</v>
      </c>
      <c r="K182" s="63">
        <f>SIN($D$4/$J$7)*SIN(G182/$J$7)+COS($D$4/$J$7)*COS(G182/$J$7)*COS(J182/$J$7)</f>
        <v>0.5846303366467271</v>
      </c>
      <c r="L182" s="63">
        <f t="shared" si="7"/>
        <v>54.22312071705798</v>
      </c>
      <c r="M182" s="67">
        <f>IF(SIN(N182/$J$7)&gt;0,$J$7*ACOS((SIN($D$4/$J$7)-SIN(G182/$J$7)*O182)/(COS(G182/$J$7)*SIN(P182/$J$7))),360-($J$7*ACOS((SIN($D$4/$J$7)-SIN(G182/$J$7)*O182)/(COS(G182/$J$7)*SIN(P182/$J$7)))))</f>
        <v>60.52643901494375</v>
      </c>
      <c r="N182" s="68">
        <f>+F182-$D$3</f>
        <v>57.94</v>
      </c>
      <c r="O182" s="69">
        <f>SIN(G182/$J$7)*SIN($D$4/$J$7)+COS(G182/$J$7)*COS($D$4/$J$7)*COS(N182/$J$7)</f>
        <v>0.5846303366467271</v>
      </c>
      <c r="P182" s="59">
        <f t="shared" si="8"/>
        <v>54.22312071705798</v>
      </c>
      <c r="Q182" s="38"/>
    </row>
    <row r="183" spans="1:17" ht="12" customHeight="1">
      <c r="A183" s="46">
        <f t="shared" si="6"/>
        <v>176</v>
      </c>
      <c r="B183" s="46" t="s">
        <v>388</v>
      </c>
      <c r="C183" s="46" t="s">
        <v>389</v>
      </c>
      <c r="D183" s="61" t="s">
        <v>37</v>
      </c>
      <c r="E183" s="61" t="s">
        <v>177</v>
      </c>
      <c r="F183" s="64">
        <v>177.5</v>
      </c>
      <c r="G183" s="64">
        <v>28</v>
      </c>
      <c r="H183" s="65">
        <f>IF(SIN(J183/$J$7)&gt;0,$J$7*ACOS((SIN(G183/$J$7)-SIN($D$4/$J$7)*K183)/(COS($D$4/$J$7)*SIN(L183/$J$7))),360-($J$7*ACOS((SIN(G183/$J$7)-SIN($D$4/$J$7)*K183)/(COS($D$4/$J$7)*SIN(L183/$J$7)))))</f>
        <v>283.2052802481393</v>
      </c>
      <c r="I183" s="66">
        <f>69.041*$J$7*(ACOS(SIN($D$4/$J$7)*SIN(G183/$J$7)+COS($D$4/$J$7)*COS(G183/$J$7)*COS(J183/$J$7)))</f>
        <v>3837.0152701776747</v>
      </c>
      <c r="J183" s="63">
        <f>+$D$3-F183</f>
        <v>-65.44</v>
      </c>
      <c r="K183" s="63">
        <f>SIN($D$4/$J$7)*SIN(G183/$J$7)+COS($D$4/$J$7)*COS(G183/$J$7)*COS(J183/$J$7)</f>
        <v>0.5653141083753207</v>
      </c>
      <c r="L183" s="63">
        <f t="shared" si="7"/>
        <v>55.57589360202886</v>
      </c>
      <c r="M183" s="67">
        <f>IF(SIN(N183/$J$7)&gt;0,$J$7*ACOS((SIN($D$4/$J$7)-SIN(G183/$J$7)*O183)/(COS(G183/$J$7)*SIN(P183/$J$7))),360-($J$7*ACOS((SIN($D$4/$J$7)-SIN(G183/$J$7)*O183)/(COS(G183/$J$7)*SIN(P183/$J$7)))))</f>
        <v>66.7701253952047</v>
      </c>
      <c r="N183" s="68">
        <f>+F183-$D$3</f>
        <v>65.44</v>
      </c>
      <c r="O183" s="69">
        <f>SIN(G183/$J$7)*SIN($D$4/$J$7)+COS(G183/$J$7)*COS($D$4/$J$7)*COS(N183/$J$7)</f>
        <v>0.5653141083753207</v>
      </c>
      <c r="P183" s="59">
        <f t="shared" si="8"/>
        <v>55.57589360202886</v>
      </c>
      <c r="Q183" s="38"/>
    </row>
    <row r="184" spans="1:17" ht="12" customHeight="1">
      <c r="A184" s="46">
        <f t="shared" si="6"/>
        <v>177</v>
      </c>
      <c r="B184" s="46" t="s">
        <v>390</v>
      </c>
      <c r="C184" s="46" t="s">
        <v>391</v>
      </c>
      <c r="D184" s="61" t="s">
        <v>37</v>
      </c>
      <c r="E184" s="61" t="s">
        <v>177</v>
      </c>
      <c r="F184" s="64">
        <v>162</v>
      </c>
      <c r="G184" s="64">
        <v>6</v>
      </c>
      <c r="H184" s="65">
        <f>IF(SIN(J184/$J$7)&gt;0,$J$7*ACOS((SIN(G184/$J$7)-SIN($D$4/$J$7)*K184)/(COS($D$4/$J$7)*SIN(L184/$J$7))),360-($J$7*ACOS((SIN(G184/$J$7)-SIN($D$4/$J$7)*K184)/(COS($D$4/$J$7)*SIN(L184/$J$7)))))</f>
        <v>250.69562038502625</v>
      </c>
      <c r="I184" s="66">
        <f>69.041*$J$7*(ACOS(SIN($D$4/$J$7)*SIN(G184/$J$7)+COS($D$4/$J$7)*COS(G184/$J$7)*COS(J184/$J$7)))</f>
        <v>3711.4876035388606</v>
      </c>
      <c r="J184" s="63">
        <f>+$D$3-F184</f>
        <v>-49.94</v>
      </c>
      <c r="K184" s="63">
        <f>SIN($D$4/$J$7)*SIN(G184/$J$7)+COS($D$4/$J$7)*COS(G184/$J$7)*COS(J184/$J$7)</f>
        <v>0.5912008083852575</v>
      </c>
      <c r="L184" s="63">
        <f t="shared" si="7"/>
        <v>53.75773241318725</v>
      </c>
      <c r="M184" s="67">
        <f>IF(SIN(N184/$J$7)&gt;0,$J$7*ACOS((SIN($D$4/$J$7)-SIN(G184/$J$7)*O184)/(COS(G184/$J$7)*SIN(P184/$J$7))),360-($J$7*ACOS((SIN($D$4/$J$7)-SIN(G184/$J$7)*O184)/(COS(G184/$J$7)*SIN(P184/$J$7)))))</f>
        <v>52.26771316878519</v>
      </c>
      <c r="N184" s="68">
        <f>+F184-$D$3</f>
        <v>49.94</v>
      </c>
      <c r="O184" s="69">
        <f>SIN(G184/$J$7)*SIN($D$4/$J$7)+COS(G184/$J$7)*COS($D$4/$J$7)*COS(N184/$J$7)</f>
        <v>0.5912008083852575</v>
      </c>
      <c r="P184" s="59">
        <f t="shared" si="8"/>
        <v>53.75773241318725</v>
      </c>
      <c r="Q184" s="38"/>
    </row>
    <row r="185" spans="1:17" ht="12" customHeight="1">
      <c r="A185" s="46">
        <f t="shared" si="6"/>
        <v>178</v>
      </c>
      <c r="B185" s="46" t="s">
        <v>392</v>
      </c>
      <c r="C185" s="46" t="s">
        <v>393</v>
      </c>
      <c r="D185" s="61" t="s">
        <v>37</v>
      </c>
      <c r="E185" s="61" t="s">
        <v>177</v>
      </c>
      <c r="F185" s="64">
        <v>162.6</v>
      </c>
      <c r="G185" s="64">
        <v>7.5</v>
      </c>
      <c r="H185" s="65">
        <f>IF(SIN(J185/$J$7)&gt;0,$J$7*ACOS((SIN(G185/$J$7)-SIN($D$4/$J$7)*K185)/(COS($D$4/$J$7)*SIN(L185/$J$7))),360-($J$7*ACOS((SIN(G185/$J$7)-SIN($D$4/$J$7)*K185)/(COS($D$4/$J$7)*SIN(L185/$J$7)))))</f>
        <v>252.62914638803187</v>
      </c>
      <c r="I185" s="66">
        <f>69.041*$J$7*(ACOS(SIN($D$4/$J$7)*SIN(G185/$J$7)+COS($D$4/$J$7)*COS(G185/$J$7)*COS(J185/$J$7)))</f>
        <v>3681.6528820098374</v>
      </c>
      <c r="J185" s="63">
        <f>+$D$3-F185</f>
        <v>-50.53999999999999</v>
      </c>
      <c r="K185" s="63">
        <f>SIN($D$4/$J$7)*SIN(G185/$J$7)+COS($D$4/$J$7)*COS(G185/$J$7)*COS(J185/$J$7)</f>
        <v>0.5972668236914812</v>
      </c>
      <c r="L185" s="63">
        <f t="shared" si="7"/>
        <v>53.325601917843564</v>
      </c>
      <c r="M185" s="67">
        <f>IF(SIN(N185/$J$7)&gt;0,$J$7*ACOS((SIN($D$4/$J$7)-SIN(G185/$J$7)*O185)/(COS(G185/$J$7)*SIN(P185/$J$7))),360-($J$7*ACOS((SIN($D$4/$J$7)-SIN(G185/$J$7)*O185)/(COS(G185/$J$7)*SIN(P185/$J$7)))))</f>
        <v>53.346237466263155</v>
      </c>
      <c r="N185" s="68">
        <f>+F185-$D$3</f>
        <v>50.53999999999999</v>
      </c>
      <c r="O185" s="69">
        <f>SIN(G185/$J$7)*SIN($D$4/$J$7)+COS(G185/$J$7)*COS($D$4/$J$7)*COS(N185/$J$7)</f>
        <v>0.5972668236914812</v>
      </c>
      <c r="P185" s="59">
        <f t="shared" si="8"/>
        <v>53.325601917843564</v>
      </c>
      <c r="Q185" s="38"/>
    </row>
    <row r="186" spans="1:17" ht="12" customHeight="1">
      <c r="A186" s="46">
        <f t="shared" si="6"/>
        <v>179</v>
      </c>
      <c r="B186" s="46" t="s">
        <v>394</v>
      </c>
      <c r="C186" s="46" t="s">
        <v>395</v>
      </c>
      <c r="D186" s="61" t="s">
        <v>37</v>
      </c>
      <c r="E186" s="61" t="s">
        <v>177</v>
      </c>
      <c r="F186" s="64">
        <v>156</v>
      </c>
      <c r="G186" s="64">
        <v>20</v>
      </c>
      <c r="H186" s="65">
        <f>IF(SIN(J186/$J$7)&gt;0,$J$7*ACOS((SIN(G186/$J$7)-SIN($D$4/$J$7)*K186)/(COS($D$4/$J$7)*SIN(L186/$J$7))),360-($J$7*ACOS((SIN(G186/$J$7)-SIN($D$4/$J$7)*K186)/(COS($D$4/$J$7)*SIN(L186/$J$7)))))</f>
        <v>262.2350116973896</v>
      </c>
      <c r="I186" s="66">
        <f>69.041*$J$7*(ACOS(SIN($D$4/$J$7)*SIN(G186/$J$7)+COS($D$4/$J$7)*COS(G186/$J$7)*COS(J186/$J$7)))</f>
        <v>2841.3462372381377</v>
      </c>
      <c r="J186" s="63">
        <f>+$D$3-F186</f>
        <v>-43.94</v>
      </c>
      <c r="K186" s="63">
        <f>SIN($D$4/$J$7)*SIN(G186/$J$7)+COS($D$4/$J$7)*COS(G186/$J$7)*COS(J186/$J$7)</f>
        <v>0.7529380189588153</v>
      </c>
      <c r="L186" s="63">
        <f t="shared" si="7"/>
        <v>41.154476865024236</v>
      </c>
      <c r="M186" s="67">
        <f>IF(SIN(N186/$J$7)&gt;0,$J$7*ACOS((SIN($D$4/$J$7)-SIN(G186/$J$7)*O186)/(COS(G186/$J$7)*SIN(P186/$J$7))),360-($J$7*ACOS((SIN($D$4/$J$7)-SIN(G186/$J$7)*O186)/(COS(G186/$J$7)*SIN(P186/$J$7)))))</f>
        <v>61.492853770297074</v>
      </c>
      <c r="N186" s="68">
        <f>+F186-$D$3</f>
        <v>43.94</v>
      </c>
      <c r="O186" s="69">
        <f>SIN(G186/$J$7)*SIN($D$4/$J$7)+COS(G186/$J$7)*COS($D$4/$J$7)*COS(N186/$J$7)</f>
        <v>0.7529380189588153</v>
      </c>
      <c r="P186" s="59">
        <f t="shared" si="8"/>
        <v>41.154476865024236</v>
      </c>
      <c r="Q186" s="38"/>
    </row>
    <row r="187" spans="1:17" ht="12" customHeight="1">
      <c r="A187" s="46">
        <f t="shared" si="6"/>
        <v>180</v>
      </c>
      <c r="B187" s="46" t="s">
        <v>396</v>
      </c>
      <c r="C187" s="46" t="s">
        <v>397</v>
      </c>
      <c r="D187" s="61" t="s">
        <v>37</v>
      </c>
      <c r="E187" s="61" t="s">
        <v>177</v>
      </c>
      <c r="F187" s="64">
        <v>178.5</v>
      </c>
      <c r="G187" s="64">
        <v>28.5</v>
      </c>
      <c r="H187" s="65">
        <f>IF(SIN(J187/$J$7)&gt;0,$J$7*ACOS((SIN(G187/$J$7)-SIN($D$4/$J$7)*K187)/(COS($D$4/$J$7)*SIN(L187/$J$7))),360-($J$7*ACOS((SIN(G187/$J$7)-SIN($D$4/$J$7)*K187)/(COS($D$4/$J$7)*SIN(L187/$J$7)))))</f>
        <v>284.1794499265538</v>
      </c>
      <c r="I187" s="66">
        <f>69.041*$J$7*(ACOS(SIN($D$4/$J$7)*SIN(G187/$J$7)+COS($D$4/$J$7)*COS(G187/$J$7)*COS(J187/$J$7)))</f>
        <v>3879.32384785953</v>
      </c>
      <c r="J187" s="63">
        <f>+$D$3-F187</f>
        <v>-66.44</v>
      </c>
      <c r="K187" s="63">
        <f>SIN($D$4/$J$7)*SIN(G187/$J$7)+COS($D$4/$J$7)*COS(G187/$J$7)*COS(J187/$J$7)</f>
        <v>0.5564595329343884</v>
      </c>
      <c r="L187" s="63">
        <f t="shared" si="7"/>
        <v>56.188697264806855</v>
      </c>
      <c r="M187" s="67">
        <f>IF(SIN(N187/$J$7)&gt;0,$J$7*ACOS((SIN($D$4/$J$7)-SIN(G187/$J$7)*O187)/(COS(G187/$J$7)*SIN(P187/$J$7))),360-($J$7*ACOS((SIN($D$4/$J$7)-SIN(G187/$J$7)*O187)/(COS(G187/$J$7)*SIN(P187/$J$7)))))</f>
        <v>66.84321548082826</v>
      </c>
      <c r="N187" s="68">
        <f>+F187-$D$3</f>
        <v>66.44</v>
      </c>
      <c r="O187" s="69">
        <f>SIN(G187/$J$7)*SIN($D$4/$J$7)+COS(G187/$J$7)*COS($D$4/$J$7)*COS(N187/$J$7)</f>
        <v>0.5564595329343884</v>
      </c>
      <c r="P187" s="59">
        <f t="shared" si="8"/>
        <v>56.188697264806855</v>
      </c>
      <c r="Q187" s="38"/>
    </row>
    <row r="188" spans="1:17" ht="12" customHeight="1">
      <c r="A188" s="46">
        <f t="shared" si="6"/>
        <v>181</v>
      </c>
      <c r="B188" s="46" t="s">
        <v>398</v>
      </c>
      <c r="C188" s="46" t="s">
        <v>399</v>
      </c>
      <c r="D188" s="61" t="s">
        <v>37</v>
      </c>
      <c r="E188" s="61" t="s">
        <v>38</v>
      </c>
      <c r="F188" s="64">
        <v>171</v>
      </c>
      <c r="G188" s="64">
        <f>-14</f>
        <v>-14</v>
      </c>
      <c r="H188" s="65">
        <f>IF(SIN(J188/$J$7)&gt;0,$J$7*ACOS((SIN(G188/$J$7)-SIN($D$4/$J$7)*K188)/(COS($D$4/$J$7)*SIN(L188/$J$7))),360-($J$7*ACOS((SIN(G188/$J$7)-SIN($D$4/$J$7)*K188)/(COS($D$4/$J$7)*SIN(L188/$J$7)))))</f>
        <v>240.0825388172363</v>
      </c>
      <c r="I188" s="66">
        <f>69.041*$J$7*(ACOS(SIN($D$4/$J$7)*SIN(G188/$J$7)+COS($D$4/$J$7)*COS(G188/$J$7)*COS(J188/$J$7)))</f>
        <v>5076.6039751332555</v>
      </c>
      <c r="J188" s="63">
        <f>+$D$3-F188</f>
        <v>-58.94</v>
      </c>
      <c r="K188" s="63">
        <f>SIN($D$4/$J$7)*SIN(G188/$J$7)+COS($D$4/$J$7)*COS(G188/$J$7)*COS(J188/$J$7)</f>
        <v>0.2835086034813171</v>
      </c>
      <c r="L188" s="63">
        <f t="shared" si="7"/>
        <v>73.53027874934106</v>
      </c>
      <c r="M188" s="67">
        <f>IF(SIN(N188/$J$7)&gt;0,$J$7*ACOS((SIN($D$4/$J$7)-SIN(G188/$J$7)*O188)/(COS(G188/$J$7)*SIN(P188/$J$7))),360-($J$7*ACOS((SIN($D$4/$J$7)-SIN(G188/$J$7)*O188)/(COS(G188/$J$7)*SIN(P188/$J$7)))))</f>
        <v>48.112922732233464</v>
      </c>
      <c r="N188" s="68">
        <f>+F188-$D$3</f>
        <v>58.94</v>
      </c>
      <c r="O188" s="69">
        <f>SIN(G188/$J$7)*SIN($D$4/$J$7)+COS(G188/$J$7)*COS($D$4/$J$7)*COS(N188/$J$7)</f>
        <v>0.2835086034813171</v>
      </c>
      <c r="P188" s="59">
        <f t="shared" si="8"/>
        <v>73.53027874934106</v>
      </c>
      <c r="Q188" s="38"/>
    </row>
    <row r="189" spans="1:17" ht="12" customHeight="1">
      <c r="A189" s="46">
        <f t="shared" si="6"/>
        <v>182</v>
      </c>
      <c r="B189" s="46" t="s">
        <v>400</v>
      </c>
      <c r="C189" s="46" t="s">
        <v>401</v>
      </c>
      <c r="D189" s="61" t="s">
        <v>37</v>
      </c>
      <c r="E189" s="61" t="s">
        <v>177</v>
      </c>
      <c r="F189" s="64">
        <f>-167</f>
        <v>-167</v>
      </c>
      <c r="G189" s="64">
        <v>19</v>
      </c>
      <c r="H189" s="65">
        <f>IF(SIN(J189/$J$7)&gt;0,$J$7*ACOS((SIN(G189/$J$7)-SIN($D$4/$J$7)*K189)/(COS($D$4/$J$7)*SIN(L189/$J$7))),360-($J$7*ACOS((SIN(G189/$J$7)-SIN($D$4/$J$7)*K189)/(COS($D$4/$J$7)*SIN(L189/$J$7)))))</f>
        <v>281.44553430635244</v>
      </c>
      <c r="I189" s="66">
        <f>69.041*$J$7*(ACOS(SIN($D$4/$J$7)*SIN(G189/$J$7)+COS($D$4/$J$7)*COS(G189/$J$7)*COS(J189/$J$7)))</f>
        <v>4991.738916180375</v>
      </c>
      <c r="J189" s="63">
        <f>+$D$3-F189</f>
        <v>279.06</v>
      </c>
      <c r="K189" s="63">
        <f>SIN($D$4/$J$7)*SIN(G189/$J$7)+COS($D$4/$J$7)*COS(G189/$J$7)*COS(J189/$J$7)</f>
        <v>0.3040150911264212</v>
      </c>
      <c r="L189" s="63">
        <f t="shared" si="7"/>
        <v>72.30108075173267</v>
      </c>
      <c r="M189" s="67">
        <f>IF(SIN(N189/$J$7)&gt;0,$J$7*ACOS((SIN($D$4/$J$7)-SIN(G189/$J$7)*O189)/(COS(G189/$J$7)*SIN(P189/$J$7))),360-($J$7*ACOS((SIN($D$4/$J$7)-SIN(G189/$J$7)*O189)/(COS(G189/$J$7)*SIN(P189/$J$7)))))</f>
        <v>59.75698718399705</v>
      </c>
      <c r="N189" s="68">
        <f>+F189-$D$3</f>
        <v>-279.06</v>
      </c>
      <c r="O189" s="69">
        <f>SIN(G189/$J$7)*SIN($D$4/$J$7)+COS(G189/$J$7)*COS($D$4/$J$7)*COS(N189/$J$7)</f>
        <v>0.3040150911264212</v>
      </c>
      <c r="P189" s="59">
        <f t="shared" si="8"/>
        <v>72.30108075173267</v>
      </c>
      <c r="Q189" s="38"/>
    </row>
    <row r="190" spans="1:17" ht="12" customHeight="1">
      <c r="A190" s="46">
        <f t="shared" si="6"/>
        <v>183</v>
      </c>
      <c r="B190" s="46" t="s">
        <v>402</v>
      </c>
      <c r="C190" s="46" t="s">
        <v>403</v>
      </c>
      <c r="D190" s="61" t="s">
        <v>70</v>
      </c>
      <c r="E190" s="61" t="s">
        <v>404</v>
      </c>
      <c r="F190" s="64">
        <v>150</v>
      </c>
      <c r="G190" s="64">
        <v>64</v>
      </c>
      <c r="H190" s="65">
        <f>IF(SIN(J190/$J$7)&gt;0,$J$7*ACOS((SIN(G190/$J$7)-SIN($D$4/$J$7)*K190)/(COS($D$4/$J$7)*SIN(L190/$J$7))),360-($J$7*ACOS((SIN(G190/$J$7)-SIN($D$4/$J$7)*K190)/(COS($D$4/$J$7)*SIN(L190/$J$7)))))</f>
        <v>334.2179984539815</v>
      </c>
      <c r="I190" s="66">
        <f>69.041*$J$7*(ACOS(SIN($D$4/$J$7)*SIN(G190/$J$7)+COS($D$4/$J$7)*COS(G190/$J$7)*COS(J190/$J$7)))</f>
        <v>2643.743297210409</v>
      </c>
      <c r="J190" s="63">
        <f>+$D$3-F190</f>
        <v>-37.94</v>
      </c>
      <c r="K190" s="63">
        <f>SIN($D$4/$J$7)*SIN(G190/$J$7)+COS($D$4/$J$7)*COS(G190/$J$7)*COS(J190/$J$7)</f>
        <v>0.7848589331507864</v>
      </c>
      <c r="L190" s="63">
        <f t="shared" si="7"/>
        <v>38.29236681407293</v>
      </c>
      <c r="M190" s="67">
        <f>IF(SIN(N190/$J$7)&gt;0,$J$7*ACOS((SIN($D$4/$J$7)-SIN(G190/$J$7)*O190)/(COS(G190/$J$7)*SIN(P190/$J$7))),360-($J$7*ACOS((SIN($D$4/$J$7)-SIN(G190/$J$7)*O190)/(COS(G190/$J$7)*SIN(P190/$J$7)))))</f>
        <v>124.21876232489655</v>
      </c>
      <c r="N190" s="68">
        <f>+F190-$D$3</f>
        <v>37.94</v>
      </c>
      <c r="O190" s="69">
        <f>SIN(G190/$J$7)*SIN($D$4/$J$7)+COS(G190/$J$7)*COS($D$4/$J$7)*COS(N190/$J$7)</f>
        <v>0.7848589331507864</v>
      </c>
      <c r="P190" s="59">
        <f t="shared" si="8"/>
        <v>38.29236681407293</v>
      </c>
      <c r="Q190" s="38"/>
    </row>
    <row r="191" spans="1:17" ht="12" customHeight="1">
      <c r="A191" s="46">
        <f t="shared" si="6"/>
        <v>184</v>
      </c>
      <c r="B191" s="46" t="s">
        <v>405</v>
      </c>
      <c r="C191" s="46" t="s">
        <v>406</v>
      </c>
      <c r="D191" s="61" t="s">
        <v>70</v>
      </c>
      <c r="E191" s="61" t="s">
        <v>105</v>
      </c>
      <c r="F191" s="64">
        <v>75</v>
      </c>
      <c r="G191" s="64">
        <v>18</v>
      </c>
      <c r="H191" s="65">
        <f>IF(SIN(J191/$J$7)&gt;0,$J$7*ACOS((SIN(G191/$J$7)-SIN($D$4/$J$7)*K191)/(COS($D$4/$J$7)*SIN(L191/$J$7))),360-($J$7*ACOS((SIN(G191/$J$7)-SIN($D$4/$J$7)*K191)/(COS($D$4/$J$7)*SIN(L191/$J$7)))))</f>
        <v>105.77416678671976</v>
      </c>
      <c r="I191" s="66">
        <f>69.041*$J$7*(ACOS(SIN($D$4/$J$7)*SIN(G191/$J$7)+COS($D$4/$J$7)*COS(G191/$J$7)*COS(J191/$J$7)))</f>
        <v>2523.7461904544034</v>
      </c>
      <c r="J191" s="63">
        <f>+$D$3-F191</f>
        <v>37.06</v>
      </c>
      <c r="K191" s="63">
        <f>SIN($D$4/$J$7)*SIN(G191/$J$7)+COS($D$4/$J$7)*COS(G191/$J$7)*COS(J191/$J$7)</f>
        <v>0.8032926628989283</v>
      </c>
      <c r="L191" s="63">
        <f t="shared" si="7"/>
        <v>36.55431106812479</v>
      </c>
      <c r="M191" s="67">
        <f>IF(SIN(N191/$J$7)&gt;0,$J$7*ACOS((SIN($D$4/$J$7)-SIN(G191/$J$7)*O191)/(COS(G191/$J$7)*SIN(P191/$J$7))),360-($J$7*ACOS((SIN($D$4/$J$7)-SIN(G191/$J$7)*O191)/(COS(G191/$J$7)*SIN(P191/$J$7)))))</f>
        <v>302.51059650987196</v>
      </c>
      <c r="N191" s="68">
        <f>+F191-$D$3</f>
        <v>-37.06</v>
      </c>
      <c r="O191" s="69">
        <f>SIN(G191/$J$7)*SIN($D$4/$J$7)+COS(G191/$J$7)*COS($D$4/$J$7)*COS(N191/$J$7)</f>
        <v>0.8032926628989283</v>
      </c>
      <c r="P191" s="59">
        <f t="shared" si="8"/>
        <v>36.55431106812479</v>
      </c>
      <c r="Q191" s="38"/>
    </row>
    <row r="192" spans="1:17" ht="12" customHeight="1">
      <c r="A192" s="46">
        <f t="shared" si="6"/>
        <v>185</v>
      </c>
      <c r="B192" s="46" t="s">
        <v>407</v>
      </c>
      <c r="C192" s="46" t="s">
        <v>408</v>
      </c>
      <c r="D192" s="61" t="s">
        <v>70</v>
      </c>
      <c r="E192" s="61" t="s">
        <v>105</v>
      </c>
      <c r="F192" s="64">
        <v>64.5</v>
      </c>
      <c r="G192" s="64">
        <v>18</v>
      </c>
      <c r="H192" s="65">
        <f>IF(SIN(J192/$J$7)&gt;0,$J$7*ACOS((SIN(G192/$J$7)-SIN($D$4/$J$7)*K192)/(COS($D$4/$J$7)*SIN(L192/$J$7))),360-($J$7*ACOS((SIN(G192/$J$7)-SIN($D$4/$J$7)*K192)/(COS($D$4/$J$7)*SIN(L192/$J$7)))))</f>
        <v>97.88131288477555</v>
      </c>
      <c r="I192" s="66">
        <f>69.041*$J$7*(ACOS(SIN($D$4/$J$7)*SIN(G192/$J$7)+COS($D$4/$J$7)*COS(G192/$J$7)*COS(J192/$J$7)))</f>
        <v>3114.9704781790388</v>
      </c>
      <c r="J192" s="63">
        <f>+$D$3-F192</f>
        <v>47.56</v>
      </c>
      <c r="K192" s="63">
        <f>SIN($D$4/$J$7)*SIN(G192/$J$7)+COS($D$4/$J$7)*COS(G192/$J$7)*COS(J192/$J$7)</f>
        <v>0.7056528303202617</v>
      </c>
      <c r="L192" s="63">
        <f t="shared" si="7"/>
        <v>45.117690621211146</v>
      </c>
      <c r="M192" s="67">
        <f>IF(SIN(N192/$J$7)&gt;0,$J$7*ACOS((SIN($D$4/$J$7)-SIN(G192/$J$7)*O192)/(COS(G192/$J$7)*SIN(P192/$J$7))),360-($J$7*ACOS((SIN($D$4/$J$7)-SIN(G192/$J$7)*O192)/(COS(G192/$J$7)*SIN(P192/$J$7)))))</f>
        <v>299.77116968551616</v>
      </c>
      <c r="N192" s="68">
        <f>+F192-$D$3</f>
        <v>-47.56</v>
      </c>
      <c r="O192" s="69">
        <f>SIN(G192/$J$7)*SIN($D$4/$J$7)+COS(G192/$J$7)*COS($D$4/$J$7)*COS(N192/$J$7)</f>
        <v>0.7056528303202617</v>
      </c>
      <c r="P192" s="59">
        <f t="shared" si="8"/>
        <v>45.117690621211146</v>
      </c>
      <c r="Q192" s="38"/>
    </row>
    <row r="193" spans="1:17" ht="12" customHeight="1">
      <c r="A193" s="46">
        <f t="shared" si="6"/>
        <v>186</v>
      </c>
      <c r="B193" s="46" t="s">
        <v>409</v>
      </c>
      <c r="C193" s="46" t="s">
        <v>410</v>
      </c>
      <c r="D193" s="61" t="s">
        <v>70</v>
      </c>
      <c r="E193" s="61" t="s">
        <v>105</v>
      </c>
      <c r="F193" s="64">
        <v>66.2</v>
      </c>
      <c r="G193" s="64">
        <v>18.5</v>
      </c>
      <c r="H193" s="65">
        <f>IF(SIN(J193/$J$7)&gt;0,$J$7*ACOS((SIN(G193/$J$7)-SIN($D$4/$J$7)*K193)/(COS($D$4/$J$7)*SIN(L193/$J$7))),360-($J$7*ACOS((SIN(G193/$J$7)-SIN($D$4/$J$7)*K193)/(COS($D$4/$J$7)*SIN(L193/$J$7)))))</f>
        <v>98.40455841507895</v>
      </c>
      <c r="I193" s="66">
        <f>69.041*$J$7*(ACOS(SIN($D$4/$J$7)*SIN(G193/$J$7)+COS($D$4/$J$7)*COS(G193/$J$7)*COS(J193/$J$7)))</f>
        <v>3001.0411496165852</v>
      </c>
      <c r="J193" s="63">
        <f>+$D$3-F193</f>
        <v>45.86</v>
      </c>
      <c r="K193" s="63">
        <f>SIN($D$4/$J$7)*SIN(G193/$J$7)+COS($D$4/$J$7)*COS(G193/$J$7)*COS(J193/$J$7)</f>
        <v>0.7257644532895211</v>
      </c>
      <c r="L193" s="63">
        <f t="shared" si="7"/>
        <v>43.46752146719464</v>
      </c>
      <c r="M193" s="67">
        <f>IF(SIN(N193/$J$7)&gt;0,$J$7*ACOS((SIN($D$4/$J$7)-SIN(G193/$J$7)*O193)/(COS(G193/$J$7)*SIN(P193/$J$7))),360-($J$7*ACOS((SIN($D$4/$J$7)-SIN(G193/$J$7)*O193)/(COS(G193/$J$7)*SIN(P193/$J$7)))))</f>
        <v>299.6133212047077</v>
      </c>
      <c r="N193" s="68">
        <f>+F193-$D$3</f>
        <v>-45.86</v>
      </c>
      <c r="O193" s="69">
        <f>SIN(G193/$J$7)*SIN($D$4/$J$7)+COS(G193/$J$7)*COS($D$4/$J$7)*COS(N193/$J$7)</f>
        <v>0.7257644532895211</v>
      </c>
      <c r="P193" s="59">
        <f t="shared" si="8"/>
        <v>43.46752146719464</v>
      </c>
      <c r="Q193" s="38"/>
    </row>
    <row r="194" spans="1:17" ht="12" customHeight="1">
      <c r="A194" s="46">
        <f t="shared" si="6"/>
        <v>187</v>
      </c>
      <c r="B194" s="46" t="s">
        <v>411</v>
      </c>
      <c r="C194" s="46" t="s">
        <v>412</v>
      </c>
      <c r="D194" s="61" t="s">
        <v>70</v>
      </c>
      <c r="E194" s="61" t="s">
        <v>105</v>
      </c>
      <c r="F194" s="64">
        <v>67.5</v>
      </c>
      <c r="G194" s="64">
        <v>18.3</v>
      </c>
      <c r="H194" s="65">
        <f>IF(SIN(J194/$J$7)&gt;0,$J$7*ACOS((SIN(G194/$J$7)-SIN($D$4/$J$7)*K194)/(COS($D$4/$J$7)*SIN(L194/$J$7))),360-($J$7*ACOS((SIN(G194/$J$7)-SIN($D$4/$J$7)*K194)/(COS($D$4/$J$7)*SIN(L194/$J$7)))))</f>
        <v>99.55904373752634</v>
      </c>
      <c r="I194" s="66">
        <f>69.041*$J$7*(ACOS(SIN($D$4/$J$7)*SIN(G194/$J$7)+COS($D$4/$J$7)*COS(G194/$J$7)*COS(J194/$J$7)))</f>
        <v>2934.0262461700954</v>
      </c>
      <c r="J194" s="63">
        <f>+$D$3-F194</f>
        <v>44.56</v>
      </c>
      <c r="K194" s="63">
        <f>SIN($D$4/$J$7)*SIN(G194/$J$7)+COS($D$4/$J$7)*COS(G194/$J$7)*COS(J194/$J$7)</f>
        <v>0.737314268951791</v>
      </c>
      <c r="L194" s="63">
        <f t="shared" si="7"/>
        <v>42.496867747716514</v>
      </c>
      <c r="M194" s="67">
        <f>IF(SIN(N194/$J$7)&gt;0,$J$7*ACOS((SIN($D$4/$J$7)-SIN(G194/$J$7)*O194)/(COS(G194/$J$7)*SIN(P194/$J$7))),360-($J$7*ACOS((SIN($D$4/$J$7)-SIN(G194/$J$7)*O194)/(COS(G194/$J$7)*SIN(P194/$J$7)))))</f>
        <v>300.04758631759546</v>
      </c>
      <c r="N194" s="68">
        <f>+F194-$D$3</f>
        <v>-44.56</v>
      </c>
      <c r="O194" s="69">
        <f>SIN(G194/$J$7)*SIN($D$4/$J$7)+COS(G194/$J$7)*COS($D$4/$J$7)*COS(N194/$J$7)</f>
        <v>0.737314268951791</v>
      </c>
      <c r="P194" s="59">
        <f t="shared" si="8"/>
        <v>42.496867747716514</v>
      </c>
      <c r="Q194" s="38"/>
    </row>
    <row r="195" spans="1:17" ht="12" customHeight="1">
      <c r="A195" s="46">
        <f t="shared" si="6"/>
        <v>188</v>
      </c>
      <c r="B195" s="46" t="s">
        <v>413</v>
      </c>
      <c r="C195" s="46" t="s">
        <v>414</v>
      </c>
      <c r="D195" s="61" t="s">
        <v>13</v>
      </c>
      <c r="E195" s="61" t="s">
        <v>21</v>
      </c>
      <c r="F195" s="64">
        <f>-10.7</f>
        <v>-10.7</v>
      </c>
      <c r="G195" s="64">
        <v>60</v>
      </c>
      <c r="H195" s="65">
        <f>IF(SIN(J195/$J$7)&gt;0,$J$7*ACOS((SIN(G195/$J$7)-SIN($D$4/$J$7)*K195)/(COS($D$4/$J$7)*SIN(L195/$J$7))),360-($J$7*ACOS((SIN(G195/$J$7)-SIN($D$4/$J$7)*K195)/(COS($D$4/$J$7)*SIN(L195/$J$7)))))</f>
        <v>25.761607528771773</v>
      </c>
      <c r="I195" s="66">
        <f>69.041*$J$7*(ACOS(SIN($D$4/$J$7)*SIN(G195/$J$7)+COS($D$4/$J$7)*COS(G195/$J$7)*COS(J195/$J$7)))</f>
        <v>5201.333831564127</v>
      </c>
      <c r="J195" s="63">
        <f>+$D$3-F195</f>
        <v>122.76</v>
      </c>
      <c r="K195" s="63">
        <f>SIN($D$4/$J$7)*SIN(G195/$J$7)+COS($D$4/$J$7)*COS(G195/$J$7)*COS(J195/$J$7)</f>
        <v>0.25313521039714965</v>
      </c>
      <c r="L195" s="63">
        <f t="shared" si="7"/>
        <v>75.33688433777215</v>
      </c>
      <c r="M195" s="67">
        <f>IF(SIN(N195/$J$7)&gt;0,$J$7*ACOS((SIN($D$4/$J$7)-SIN(G195/$J$7)*O195)/(COS(G195/$J$7)*SIN(P195/$J$7))),360-($J$7*ACOS((SIN($D$4/$J$7)-SIN(G195/$J$7)*O195)/(COS(G195/$J$7)*SIN(P195/$J$7)))))</f>
        <v>313.5776486442869</v>
      </c>
      <c r="N195" s="68">
        <f>+F195-$D$3</f>
        <v>-122.76</v>
      </c>
      <c r="O195" s="69">
        <f>SIN(G195/$J$7)*SIN($D$4/$J$7)+COS(G195/$J$7)*COS($D$4/$J$7)*COS(N195/$J$7)</f>
        <v>0.25313521039714965</v>
      </c>
      <c r="P195" s="59">
        <f t="shared" si="8"/>
        <v>75.33688433777215</v>
      </c>
      <c r="Q195" s="38"/>
    </row>
    <row r="196" spans="1:17" ht="12" customHeight="1">
      <c r="A196" s="46">
        <f t="shared" si="6"/>
        <v>189</v>
      </c>
      <c r="B196" s="46" t="s">
        <v>415</v>
      </c>
      <c r="C196" s="46" t="s">
        <v>416</v>
      </c>
      <c r="D196" s="61" t="s">
        <v>118</v>
      </c>
      <c r="E196" s="61" t="s">
        <v>212</v>
      </c>
      <c r="F196" s="64">
        <v>58.4</v>
      </c>
      <c r="G196" s="64">
        <f>-34</f>
        <v>-34</v>
      </c>
      <c r="H196" s="65">
        <f>IF(SIN(J196/$J$7)&gt;0,$J$7*ACOS((SIN(G196/$J$7)-SIN($D$4/$J$7)*K196)/(COS($D$4/$J$7)*SIN(L196/$J$7))),360-($J$7*ACOS((SIN(G196/$J$7)-SIN($D$4/$J$7)*K196)/(COS($D$4/$J$7)*SIN(L196/$J$7)))))</f>
        <v>137.84087149128695</v>
      </c>
      <c r="I196" s="66">
        <f>69.041*$J$7*(ACOS(SIN($D$4/$J$7)*SIN(G196/$J$7)+COS($D$4/$J$7)*COS(G196/$J$7)*COS(J196/$J$7)))</f>
        <v>5815.948404813847</v>
      </c>
      <c r="J196" s="63">
        <f>+$D$3-F196</f>
        <v>53.660000000000004</v>
      </c>
      <c r="K196" s="63">
        <f>SIN($D$4/$J$7)*SIN(G196/$J$7)+COS($D$4/$J$7)*COS(G196/$J$7)*COS(J196/$J$7)</f>
        <v>0.10037817307543473</v>
      </c>
      <c r="L196" s="63">
        <f t="shared" si="7"/>
        <v>84.23905222713819</v>
      </c>
      <c r="M196" s="67">
        <f>IF(SIN(N196/$J$7)&gt;0,$J$7*ACOS((SIN($D$4/$J$7)-SIN(G196/$J$7)*O196)/(COS(G196/$J$7)*SIN(P196/$J$7))),360-($J$7*ACOS((SIN($D$4/$J$7)-SIN(G196/$J$7)*O196)/(COS(G196/$J$7)*SIN(P196/$J$7)))))</f>
        <v>317.5670520356776</v>
      </c>
      <c r="N196" s="68">
        <f>+F196-$D$3</f>
        <v>-53.660000000000004</v>
      </c>
      <c r="O196" s="69">
        <f>SIN(G196/$J$7)*SIN($D$4/$J$7)+COS(G196/$J$7)*COS($D$4/$J$7)*COS(N196/$J$7)</f>
        <v>0.10037817307543473</v>
      </c>
      <c r="P196" s="59">
        <f t="shared" si="8"/>
        <v>84.23905222713819</v>
      </c>
      <c r="Q196" s="38"/>
    </row>
    <row r="197" spans="1:17" ht="12" customHeight="1">
      <c r="A197" s="46">
        <f t="shared" si="6"/>
        <v>190</v>
      </c>
      <c r="B197" s="46" t="s">
        <v>417</v>
      </c>
      <c r="C197" s="46" t="s">
        <v>418</v>
      </c>
      <c r="D197" s="61" t="s">
        <v>13</v>
      </c>
      <c r="E197" s="61" t="s">
        <v>21</v>
      </c>
      <c r="F197" s="64">
        <f>-6.5</f>
        <v>-6.5</v>
      </c>
      <c r="G197" s="64">
        <v>49</v>
      </c>
      <c r="H197" s="65">
        <f>IF(SIN(J197/$J$7)&gt;0,$J$7*ACOS((SIN(G197/$J$7)-SIN($D$4/$J$7)*K197)/(COS($D$4/$J$7)*SIN(L197/$J$7))),360-($J$7*ACOS((SIN(G197/$J$7)-SIN($D$4/$J$7)*K197)/(COS($D$4/$J$7)*SIN(L197/$J$7)))))</f>
        <v>35.68598264165378</v>
      </c>
      <c r="I197" s="66">
        <f>69.041*$J$7*(ACOS(SIN($D$4/$J$7)*SIN(G197/$J$7)+COS($D$4/$J$7)*COS(G197/$J$7)*COS(J197/$J$7)))</f>
        <v>5595.2391764706645</v>
      </c>
      <c r="J197" s="63">
        <f>+$D$3-F197</f>
        <v>118.56</v>
      </c>
      <c r="K197" s="63">
        <f>SIN($D$4/$J$7)*SIN(G197/$J$7)+COS($D$4/$J$7)*COS(G197/$J$7)*COS(J197/$J$7)</f>
        <v>0.15570580139102985</v>
      </c>
      <c r="L197" s="63">
        <f t="shared" si="7"/>
        <v>81.04226729726778</v>
      </c>
      <c r="M197" s="67">
        <f>IF(SIN(N197/$J$7)&gt;0,$J$7*ACOS((SIN($D$4/$J$7)-SIN(G197/$J$7)*O197)/(COS(G197/$J$7)*SIN(P197/$J$7))),360-($J$7*ACOS((SIN($D$4/$J$7)-SIN(G197/$J$7)*O197)/(COS(G197/$J$7)*SIN(P197/$J$7)))))</f>
        <v>312.180708036047</v>
      </c>
      <c r="N197" s="68">
        <f>+F197-$D$3</f>
        <v>-118.56</v>
      </c>
      <c r="O197" s="69">
        <f>SIN(G197/$J$7)*SIN($D$4/$J$7)+COS(G197/$J$7)*COS($D$4/$J$7)*COS(N197/$J$7)</f>
        <v>0.15570580139102985</v>
      </c>
      <c r="P197" s="59">
        <f t="shared" si="8"/>
        <v>81.04226729726778</v>
      </c>
      <c r="Q197" s="38"/>
    </row>
    <row r="198" spans="1:17" ht="12" customHeight="1">
      <c r="A198" s="46">
        <f t="shared" si="6"/>
        <v>191</v>
      </c>
      <c r="B198" s="46" t="s">
        <v>419</v>
      </c>
      <c r="C198" s="46" t="s">
        <v>420</v>
      </c>
      <c r="D198" s="61" t="s">
        <v>13</v>
      </c>
      <c r="E198" s="61" t="s">
        <v>14</v>
      </c>
      <c r="F198" s="64">
        <f>-25.5</f>
        <v>-25.5</v>
      </c>
      <c r="G198" s="64">
        <v>54.5</v>
      </c>
      <c r="H198" s="65">
        <f>IF(SIN(J198/$J$7)&gt;0,$J$7*ACOS((SIN(G198/$J$7)-SIN($D$4/$J$7)*K198)/(COS($D$4/$J$7)*SIN(L198/$J$7))),360-($J$7*ACOS((SIN(G198/$J$7)-SIN($D$4/$J$7)*K198)/(COS($D$4/$J$7)*SIN(L198/$J$7)))))</f>
        <v>23.176580428283753</v>
      </c>
      <c r="I198" s="66">
        <f>69.041*$J$7*(ACOS(SIN($D$4/$J$7)*SIN(G198/$J$7)+COS($D$4/$J$7)*COS(G198/$J$7)*COS(J198/$J$7)))</f>
        <v>5846.155174854985</v>
      </c>
      <c r="J198" s="63">
        <f>+$D$3-F198</f>
        <v>137.56</v>
      </c>
      <c r="K198" s="63">
        <f>SIN($D$4/$J$7)*SIN(G198/$J$7)+COS($D$4/$J$7)*COS(G198/$J$7)*COS(J198/$J$7)</f>
        <v>0.09277773550255924</v>
      </c>
      <c r="L198" s="63">
        <f t="shared" si="7"/>
        <v>84.67657152786003</v>
      </c>
      <c r="M198" s="67">
        <f>IF(SIN(N198/$J$7)&gt;0,$J$7*ACOS((SIN($D$4/$J$7)-SIN(G198/$J$7)*O198)/(COS(G198/$J$7)*SIN(P198/$J$7))),360-($J$7*ACOS((SIN($D$4/$J$7)-SIN(G198/$J$7)*O198)/(COS(G198/$J$7)*SIN(P198/$J$7)))))</f>
        <v>325.6093790692348</v>
      </c>
      <c r="N198" s="68">
        <f>+F198-$D$3</f>
        <v>-137.56</v>
      </c>
      <c r="O198" s="69">
        <f>SIN(G198/$J$7)*SIN($D$4/$J$7)+COS(G198/$J$7)*COS($D$4/$J$7)*COS(N198/$J$7)</f>
        <v>0.09277773550255924</v>
      </c>
      <c r="P198" s="59">
        <f t="shared" si="8"/>
        <v>84.67657152786003</v>
      </c>
      <c r="Q198" s="38"/>
    </row>
    <row r="199" spans="1:17" ht="12" customHeight="1">
      <c r="A199" s="46">
        <f t="shared" si="6"/>
        <v>192</v>
      </c>
      <c r="B199" s="46" t="s">
        <v>421</v>
      </c>
      <c r="C199" s="46" t="s">
        <v>422</v>
      </c>
      <c r="D199" s="61" t="s">
        <v>13</v>
      </c>
      <c r="E199" s="61" t="s">
        <v>76</v>
      </c>
      <c r="F199" s="64">
        <f>-23.3</f>
        <v>-23.3</v>
      </c>
      <c r="G199" s="64">
        <v>42.7</v>
      </c>
      <c r="H199" s="65">
        <f>IF(SIN(J199/$J$7)&gt;0,$J$7*ACOS((SIN(G199/$J$7)-SIN($D$4/$J$7)*K199)/(COS($D$4/$J$7)*SIN(L199/$J$7))),360-($J$7*ACOS((SIN(G199/$J$7)-SIN($D$4/$J$7)*K199)/(COS($D$4/$J$7)*SIN(L199/$J$7)))))</f>
        <v>31.15475381412558</v>
      </c>
      <c r="I199" s="66">
        <f>69.041*$J$7*(ACOS(SIN($D$4/$J$7)*SIN(G199/$J$7)+COS($D$4/$J$7)*COS(G199/$J$7)*COS(J199/$J$7)))</f>
        <v>6455.169173211717</v>
      </c>
      <c r="J199" s="63">
        <f>+$D$3-F199</f>
        <v>135.36</v>
      </c>
      <c r="K199" s="63">
        <f>SIN($D$4/$J$7)*SIN(G199/$J$7)+COS($D$4/$J$7)*COS(G199/$J$7)*COS(J199/$J$7)</f>
        <v>-0.0610070758008216</v>
      </c>
      <c r="L199" s="63">
        <f t="shared" si="7"/>
        <v>93.49761986662588</v>
      </c>
      <c r="M199" s="67">
        <f>IF(SIN(N199/$J$7)&gt;0,$J$7*ACOS((SIN($D$4/$J$7)-SIN(G199/$J$7)*O199)/(COS(G199/$J$7)*SIN(P199/$J$7))),360-($J$7*ACOS((SIN($D$4/$J$7)-SIN(G199/$J$7)*O199)/(COS(G199/$J$7)*SIN(P199/$J$7)))))</f>
        <v>324.0779548231414</v>
      </c>
      <c r="N199" s="68">
        <f>+F199-$D$3</f>
        <v>-135.36</v>
      </c>
      <c r="O199" s="69">
        <f>SIN(G199/$J$7)*SIN($D$4/$J$7)+COS(G199/$J$7)*COS($D$4/$J$7)*COS(N199/$J$7)</f>
        <v>-0.0610070758008216</v>
      </c>
      <c r="P199" s="59">
        <f t="shared" si="8"/>
        <v>93.49761986662588</v>
      </c>
      <c r="Q199" s="38"/>
    </row>
    <row r="200" spans="1:17" ht="12" customHeight="1">
      <c r="A200" s="46">
        <f t="shared" si="6"/>
        <v>193</v>
      </c>
      <c r="B200" s="46" t="s">
        <v>423</v>
      </c>
      <c r="C200" s="46" t="s">
        <v>424</v>
      </c>
      <c r="D200" s="61" t="s">
        <v>118</v>
      </c>
      <c r="E200" s="61" t="s">
        <v>203</v>
      </c>
      <c r="F200" s="64">
        <v>77</v>
      </c>
      <c r="G200" s="64">
        <f>-12</f>
        <v>-12</v>
      </c>
      <c r="H200" s="65">
        <f>IF(SIN(J200/$J$7)&gt;0,$J$7*ACOS((SIN(G200/$J$7)-SIN($D$4/$J$7)*K200)/(COS($D$4/$J$7)*SIN(L200/$J$7))),360-($J$7*ACOS((SIN(G200/$J$7)-SIN($D$4/$J$7)*K200)/(COS($D$4/$J$7)*SIN(L200/$J$7)))))</f>
        <v>137.6201309631959</v>
      </c>
      <c r="I200" s="66">
        <f>69.041*$J$7*(ACOS(SIN($D$4/$J$7)*SIN(G200/$J$7)+COS($D$4/$J$7)*COS(G200/$J$7)*COS(J200/$J$7)))</f>
        <v>3898.758432471273</v>
      </c>
      <c r="J200" s="63">
        <f>+$D$3-F200</f>
        <v>35.06</v>
      </c>
      <c r="K200" s="63">
        <f>SIN($D$4/$J$7)*SIN(G200/$J$7)+COS($D$4/$J$7)*COS(G200/$J$7)*COS(J200/$J$7)</f>
        <v>0.5523707574990774</v>
      </c>
      <c r="L200" s="63">
        <f t="shared" si="7"/>
        <v>56.470190647170135</v>
      </c>
      <c r="M200" s="67">
        <f>IF(SIN(N200/$J$7)&gt;0,$J$7*ACOS((SIN($D$4/$J$7)-SIN(G200/$J$7)*O200)/(COS(G200/$J$7)*SIN(P200/$J$7))),360-($J$7*ACOS((SIN($D$4/$J$7)-SIN(G200/$J$7)*O200)/(COS(G200/$J$7)*SIN(P200/$J$7)))))</f>
        <v>324.9493909347308</v>
      </c>
      <c r="N200" s="68">
        <f>+F200-$D$3</f>
        <v>-35.06</v>
      </c>
      <c r="O200" s="69">
        <f>SIN(G200/$J$7)*SIN($D$4/$J$7)+COS(G200/$J$7)*COS($D$4/$J$7)*COS(N200/$J$7)</f>
        <v>0.5523707574990774</v>
      </c>
      <c r="P200" s="59">
        <f t="shared" si="8"/>
        <v>56.470190647170135</v>
      </c>
      <c r="Q200" s="38"/>
    </row>
    <row r="201" spans="1:17" ht="12" customHeight="1">
      <c r="A201" s="46">
        <f t="shared" si="6"/>
        <v>194</v>
      </c>
      <c r="B201" s="46" t="s">
        <v>425</v>
      </c>
      <c r="C201" s="46" t="s">
        <v>426</v>
      </c>
      <c r="D201" s="61" t="s">
        <v>17</v>
      </c>
      <c r="E201" s="61" t="s">
        <v>76</v>
      </c>
      <c r="F201" s="64">
        <f>-35.5</f>
        <v>-35.5</v>
      </c>
      <c r="G201" s="64">
        <v>33.9</v>
      </c>
      <c r="H201" s="65">
        <f>IF(SIN(J201/$J$7)&gt;0,$J$7*ACOS((SIN(G201/$J$7)-SIN($D$4/$J$7)*K201)/(COS($D$4/$J$7)*SIN(L201/$J$7))),360-($J$7*ACOS((SIN(G201/$J$7)-SIN($D$4/$J$7)*K201)/(COS($D$4/$J$7)*SIN(L201/$J$7)))))</f>
        <v>27.591337448577246</v>
      </c>
      <c r="I201" s="66">
        <f>69.041*$J$7*(ACOS(SIN($D$4/$J$7)*SIN(G201/$J$7)+COS($D$4/$J$7)*COS(G201/$J$7)*COS(J201/$J$7)))</f>
        <v>7317.9730584055815</v>
      </c>
      <c r="J201" s="63">
        <f>+$D$3-F201</f>
        <v>147.56</v>
      </c>
      <c r="K201" s="63">
        <f>SIN($D$4/$J$7)*SIN(G201/$J$7)+COS($D$4/$J$7)*COS(G201/$J$7)*COS(J201/$J$7)</f>
        <v>-0.2755467286040591</v>
      </c>
      <c r="L201" s="63">
        <f t="shared" si="7"/>
        <v>105.99459825908637</v>
      </c>
      <c r="M201" s="67">
        <f>IF(SIN(N201/$J$7)&gt;0,$J$7*ACOS((SIN($D$4/$J$7)-SIN(G201/$J$7)*O201)/(COS(G201/$J$7)*SIN(P201/$J$7))),360-($J$7*ACOS((SIN($D$4/$J$7)-SIN(G201/$J$7)*O201)/(COS(G201/$J$7)*SIN(P201/$J$7)))))</f>
        <v>332.28624432493376</v>
      </c>
      <c r="N201" s="68">
        <f>+F201-$D$3</f>
        <v>-147.56</v>
      </c>
      <c r="O201" s="69">
        <f>SIN(G201/$J$7)*SIN($D$4/$J$7)+COS(G201/$J$7)*COS($D$4/$J$7)*COS(N201/$J$7)</f>
        <v>-0.2755467286040591</v>
      </c>
      <c r="P201" s="59">
        <f t="shared" si="8"/>
        <v>105.99459825908637</v>
      </c>
      <c r="Q201" s="38"/>
    </row>
    <row r="202" spans="1:17" ht="12" customHeight="1">
      <c r="A202" s="46">
        <f t="shared" si="6"/>
        <v>195</v>
      </c>
      <c r="B202" s="46" t="s">
        <v>427</v>
      </c>
      <c r="C202" s="46" t="s">
        <v>428</v>
      </c>
      <c r="D202" s="61" t="s">
        <v>13</v>
      </c>
      <c r="E202" s="61" t="s">
        <v>14</v>
      </c>
      <c r="F202" s="64">
        <f>-16.3</f>
        <v>-16.3</v>
      </c>
      <c r="G202" s="64">
        <v>48.2</v>
      </c>
      <c r="H202" s="65">
        <f>IF(SIN(J202/$J$7)&gt;0,$J$7*ACOS((SIN(G202/$J$7)-SIN($D$4/$J$7)*K202)/(COS($D$4/$J$7)*SIN(L202/$J$7))),360-($J$7*ACOS((SIN(G202/$J$7)-SIN($D$4/$J$7)*K202)/(COS($D$4/$J$7)*SIN(L202/$J$7)))))</f>
        <v>31.589666347126453</v>
      </c>
      <c r="I202" s="66">
        <f>69.041*$J$7*(ACOS(SIN($D$4/$J$7)*SIN(G202/$J$7)+COS($D$4/$J$7)*COS(G202/$J$7)*COS(J202/$J$7)))</f>
        <v>5947.42360495224</v>
      </c>
      <c r="J202" s="63">
        <f>+$D$3-F202</f>
        <v>128.36</v>
      </c>
      <c r="K202" s="63">
        <f>SIN($D$4/$J$7)*SIN(G202/$J$7)+COS($D$4/$J$7)*COS(G202/$J$7)*COS(J202/$J$7)</f>
        <v>0.06726027742931756</v>
      </c>
      <c r="L202" s="63">
        <f t="shared" si="7"/>
        <v>86.14335836607582</v>
      </c>
      <c r="M202" s="67">
        <f>IF(SIN(N202/$J$7)&gt;0,$J$7*ACOS((SIN($D$4/$J$7)-SIN(G202/$J$7)*O202)/(COS(G202/$J$7)*SIN(P202/$J$7))),360-($J$7*ACOS((SIN($D$4/$J$7)-SIN(G202/$J$7)*O202)/(COS(G202/$J$7)*SIN(P202/$J$7)))))</f>
        <v>319.08204814748115</v>
      </c>
      <c r="N202" s="68">
        <f>+F202-$D$3</f>
        <v>-128.36</v>
      </c>
      <c r="O202" s="69">
        <f>SIN(G202/$J$7)*SIN($D$4/$J$7)+COS(G202/$J$7)*COS($D$4/$J$7)*COS(N202/$J$7)</f>
        <v>0.06726027742931756</v>
      </c>
      <c r="P202" s="59">
        <f t="shared" si="8"/>
        <v>86.14335836607582</v>
      </c>
      <c r="Q202" s="38"/>
    </row>
    <row r="203" spans="1:17" ht="12" customHeight="1">
      <c r="A203" s="46">
        <f aca="true" t="shared" si="9" ref="A203:A266">1+A202</f>
        <v>196</v>
      </c>
      <c r="B203" s="46" t="s">
        <v>429</v>
      </c>
      <c r="C203" s="46" t="s">
        <v>430</v>
      </c>
      <c r="D203" s="61" t="s">
        <v>13</v>
      </c>
      <c r="E203" s="61" t="s">
        <v>14</v>
      </c>
      <c r="F203" s="64">
        <f>-25</f>
        <v>-25</v>
      </c>
      <c r="G203" s="64">
        <v>60.2</v>
      </c>
      <c r="H203" s="65">
        <f>IF(SIN(J203/$J$7)&gt;0,$J$7*ACOS((SIN(G203/$J$7)-SIN($D$4/$J$7)*K203)/(COS($D$4/$J$7)*SIN(L203/$J$7))),360-($J$7*ACOS((SIN(G203/$J$7)-SIN($D$4/$J$7)*K203)/(COS($D$4/$J$7)*SIN(L203/$J$7)))))</f>
        <v>20.117510733516923</v>
      </c>
      <c r="I203" s="66">
        <f>69.041*$J$7*(ACOS(SIN($D$4/$J$7)*SIN(G203/$J$7)+COS($D$4/$J$7)*COS(G203/$J$7)*COS(J203/$J$7)))</f>
        <v>5512.322570793982</v>
      </c>
      <c r="J203" s="63">
        <f>+$D$3-F203</f>
        <v>137.06</v>
      </c>
      <c r="K203" s="63">
        <f>SIN($D$4/$J$7)*SIN(G203/$J$7)+COS($D$4/$J$7)*COS(G203/$J$7)*COS(J203/$J$7)</f>
        <v>0.17637542043223697</v>
      </c>
      <c r="L203" s="63">
        <f t="shared" si="7"/>
        <v>79.84129098353127</v>
      </c>
      <c r="M203" s="67">
        <f>IF(SIN(N203/$J$7)&gt;0,$J$7*ACOS((SIN($D$4/$J$7)-SIN(G203/$J$7)*O203)/(COS(G203/$J$7)*SIN(P203/$J$7))),360-($J$7*ACOS((SIN($D$4/$J$7)-SIN(G203/$J$7)*O203)/(COS(G203/$J$7)*SIN(P203/$J$7)))))</f>
        <v>324.775356778839</v>
      </c>
      <c r="N203" s="68">
        <f>+F203-$D$3</f>
        <v>-137.06</v>
      </c>
      <c r="O203" s="69">
        <f>SIN(G203/$J$7)*SIN($D$4/$J$7)+COS(G203/$J$7)*COS($D$4/$J$7)*COS(N203/$J$7)</f>
        <v>0.17637542043223697</v>
      </c>
      <c r="P203" s="59">
        <f t="shared" si="8"/>
        <v>79.84129098353127</v>
      </c>
      <c r="Q203" s="38"/>
    </row>
    <row r="204" spans="1:17" ht="12" customHeight="1">
      <c r="A204" s="46">
        <f t="shared" si="9"/>
        <v>197</v>
      </c>
      <c r="B204" s="46" t="s">
        <v>431</v>
      </c>
      <c r="C204" s="46" t="s">
        <v>432</v>
      </c>
      <c r="D204" s="61" t="s">
        <v>13</v>
      </c>
      <c r="E204" s="61" t="s">
        <v>14</v>
      </c>
      <c r="F204" s="64">
        <f>-20</f>
        <v>-20</v>
      </c>
      <c r="G204" s="64">
        <v>60.2</v>
      </c>
      <c r="H204" s="65">
        <f>IF(SIN(J204/$J$7)&gt;0,$J$7*ACOS((SIN(G204/$J$7)-SIN($D$4/$J$7)*K204)/(COS($D$4/$J$7)*SIN(L204/$J$7))),360-($J$7*ACOS((SIN(G204/$J$7)-SIN($D$4/$J$7)*K204)/(COS($D$4/$J$7)*SIN(L204/$J$7)))))</f>
        <v>22.132581619143114</v>
      </c>
      <c r="I204" s="66">
        <f>69.041*$J$7*(ACOS(SIN($D$4/$J$7)*SIN(G204/$J$7)+COS($D$4/$J$7)*COS(G204/$J$7)*COS(J204/$J$7)))</f>
        <v>5408.603969045827</v>
      </c>
      <c r="J204" s="63">
        <f>+$D$3-F204</f>
        <v>132.06</v>
      </c>
      <c r="K204" s="63">
        <f>SIN($D$4/$J$7)*SIN(G204/$J$7)+COS($D$4/$J$7)*COS(G204/$J$7)*COS(J204/$J$7)</f>
        <v>0.20212044768553433</v>
      </c>
      <c r="L204" s="63">
        <f aca="true" t="shared" si="10" ref="L204:L266">+$J$7*ACOS(K204)</f>
        <v>78.33901549870117</v>
      </c>
      <c r="M204" s="67">
        <f>IF(SIN(N204/$J$7)&gt;0,$J$7*ACOS((SIN($D$4/$J$7)-SIN(G204/$J$7)*O204)/(COS(G204/$J$7)*SIN(P204/$J$7))),360-($J$7*ACOS((SIN($D$4/$J$7)-SIN(G204/$J$7)*O204)/(COS(G204/$J$7)*SIN(P204/$J$7)))))</f>
        <v>320.8173009710474</v>
      </c>
      <c r="N204" s="68">
        <f>+F204-$D$3</f>
        <v>-132.06</v>
      </c>
      <c r="O204" s="69">
        <f>SIN(G204/$J$7)*SIN($D$4/$J$7)+COS(G204/$J$7)*COS($D$4/$J$7)*COS(N204/$J$7)</f>
        <v>0.20212044768553433</v>
      </c>
      <c r="P204" s="59">
        <f t="shared" si="8"/>
        <v>78.33901549870117</v>
      </c>
      <c r="Q204" s="38"/>
    </row>
    <row r="205" spans="1:17" ht="12" customHeight="1">
      <c r="A205" s="46">
        <f t="shared" si="9"/>
        <v>198</v>
      </c>
      <c r="B205" s="46" t="s">
        <v>433</v>
      </c>
      <c r="C205" s="46" t="s">
        <v>434</v>
      </c>
      <c r="D205" s="61" t="s">
        <v>13</v>
      </c>
      <c r="E205" s="61" t="s">
        <v>14</v>
      </c>
      <c r="F205" s="64">
        <f>-19</f>
        <v>-19</v>
      </c>
      <c r="G205" s="64">
        <v>60.3</v>
      </c>
      <c r="H205" s="65">
        <f>IF(SIN(J205/$J$7)&gt;0,$J$7*ACOS((SIN(G205/$J$7)-SIN($D$4/$J$7)*K205)/(COS($D$4/$J$7)*SIN(L205/$J$7))),360-($J$7*ACOS((SIN(G205/$J$7)-SIN($D$4/$J$7)*K205)/(COS($D$4/$J$7)*SIN(L205/$J$7)))))</f>
        <v>22.458242142821398</v>
      </c>
      <c r="I205" s="66">
        <f>69.041*$J$7*(ACOS(SIN($D$4/$J$7)*SIN(G205/$J$7)+COS($D$4/$J$7)*COS(G205/$J$7)*COS(J205/$J$7)))</f>
        <v>5381.4532927983855</v>
      </c>
      <c r="J205" s="63">
        <f>+$D$3-F205</f>
        <v>131.06</v>
      </c>
      <c r="K205" s="63">
        <f>SIN($D$4/$J$7)*SIN(G205/$J$7)+COS($D$4/$J$7)*COS(G205/$J$7)*COS(J205/$J$7)</f>
        <v>0.20883755821993039</v>
      </c>
      <c r="L205" s="63">
        <f t="shared" si="10"/>
        <v>77.94576111004166</v>
      </c>
      <c r="M205" s="67">
        <f>IF(SIN(N205/$J$7)&gt;0,$J$7*ACOS((SIN($D$4/$J$7)-SIN(G205/$J$7)*O205)/(COS(G205/$J$7)*SIN(P205/$J$7))),360-($J$7*ACOS((SIN($D$4/$J$7)-SIN(G205/$J$7)*O205)/(COS(G205/$J$7)*SIN(P205/$J$7)))))</f>
        <v>320.016013759661</v>
      </c>
      <c r="N205" s="68">
        <f>+F205-$D$3</f>
        <v>-131.06</v>
      </c>
      <c r="O205" s="69">
        <f>SIN(G205/$J$7)*SIN($D$4/$J$7)+COS(G205/$J$7)*COS($D$4/$J$7)*COS(N205/$J$7)</f>
        <v>0.20883755821993039</v>
      </c>
      <c r="P205" s="59">
        <f t="shared" si="8"/>
        <v>77.94576111004166</v>
      </c>
      <c r="Q205" s="38"/>
    </row>
    <row r="206" spans="1:17" ht="12" customHeight="1">
      <c r="A206" s="46">
        <f t="shared" si="9"/>
        <v>199</v>
      </c>
      <c r="B206" s="46" t="s">
        <v>435</v>
      </c>
      <c r="C206" s="46" t="s">
        <v>436</v>
      </c>
      <c r="D206" s="61" t="s">
        <v>13</v>
      </c>
      <c r="E206" s="61" t="s">
        <v>14</v>
      </c>
      <c r="F206" s="64">
        <f>-14.4</f>
        <v>-14.4</v>
      </c>
      <c r="G206" s="64">
        <v>50.1</v>
      </c>
      <c r="H206" s="65">
        <f>IF(SIN(J206/$J$7)&gt;0,$J$7*ACOS((SIN(G206/$J$7)-SIN($D$4/$J$7)*K206)/(COS($D$4/$J$7)*SIN(L206/$J$7))),360-($J$7*ACOS((SIN(G206/$J$7)-SIN($D$4/$J$7)*K206)/(COS($D$4/$J$7)*SIN(L206/$J$7)))))</f>
        <v>31.254450646782352</v>
      </c>
      <c r="I206" s="66">
        <f>69.041*$J$7*(ACOS(SIN($D$4/$J$7)*SIN(G206/$J$7)+COS($D$4/$J$7)*COS(G206/$J$7)*COS(J206/$J$7)))</f>
        <v>5792.394068815692</v>
      </c>
      <c r="J206" s="63">
        <f>+$D$3-F206</f>
        <v>126.46000000000001</v>
      </c>
      <c r="K206" s="63">
        <f>SIN($D$4/$J$7)*SIN(G206/$J$7)+COS($D$4/$J$7)*COS(G206/$J$7)*COS(J206/$J$7)</f>
        <v>0.10630072807749497</v>
      </c>
      <c r="L206" s="63">
        <f t="shared" si="10"/>
        <v>83.89788775967457</v>
      </c>
      <c r="M206" s="67">
        <f>IF(SIN(N206/$J$7)&gt;0,$J$7*ACOS((SIN($D$4/$J$7)-SIN(G206/$J$7)*O206)/(COS(G206/$J$7)*SIN(P206/$J$7))),360-($J$7*ACOS((SIN($D$4/$J$7)-SIN(G206/$J$7)*O206)/(COS(G206/$J$7)*SIN(P206/$J$7)))))</f>
        <v>317.6154861463923</v>
      </c>
      <c r="N206" s="68">
        <f>+F206-$D$3</f>
        <v>-126.46000000000001</v>
      </c>
      <c r="O206" s="69">
        <f>SIN(G206/$J$7)*SIN($D$4/$J$7)+COS(G206/$J$7)*COS($D$4/$J$7)*COS(N206/$J$7)</f>
        <v>0.10630072807749497</v>
      </c>
      <c r="P206" s="59">
        <f aca="true" t="shared" si="11" ref="P206:P268">$J$7*ACOS(O206)</f>
        <v>83.89788775967457</v>
      </c>
      <c r="Q206" s="38"/>
    </row>
    <row r="207" spans="1:17" ht="12" customHeight="1">
      <c r="A207" s="46">
        <f t="shared" si="9"/>
        <v>200</v>
      </c>
      <c r="B207" s="46" t="s">
        <v>437</v>
      </c>
      <c r="C207" s="46" t="s">
        <v>438</v>
      </c>
      <c r="D207" s="61" t="s">
        <v>13</v>
      </c>
      <c r="E207" s="61" t="s">
        <v>14</v>
      </c>
      <c r="F207" s="64">
        <v>-16</v>
      </c>
      <c r="G207" s="64">
        <v>50.1</v>
      </c>
      <c r="H207" s="65">
        <f>IF(SIN(J207/$J$7)&gt;0,$J$7*ACOS((SIN(G207/$J$7)-SIN($D$4/$J$7)*K207)/(COS($D$4/$J$7)*SIN(L207/$J$7))),360-($J$7*ACOS((SIN(G207/$J$7)-SIN($D$4/$J$7)*K207)/(COS($D$4/$J$7)*SIN(L207/$J$7)))))</f>
        <v>30.485602978418125</v>
      </c>
      <c r="I207" s="66">
        <f>69.041*$J$7*(ACOS(SIN($D$4/$J$7)*SIN(G207/$J$7)+COS($D$4/$J$7)*COS(G207/$J$7)*COS(J207/$J$7)))</f>
        <v>5839.631732292917</v>
      </c>
      <c r="J207" s="63">
        <f>+$D$3-F207</f>
        <v>128.06</v>
      </c>
      <c r="K207" s="63">
        <f>SIN($D$4/$J$7)*SIN(G207/$J$7)+COS($D$4/$J$7)*COS(G207/$J$7)*COS(J207/$J$7)</f>
        <v>0.09441959632766234</v>
      </c>
      <c r="L207" s="63">
        <f t="shared" si="10"/>
        <v>84.58208502618614</v>
      </c>
      <c r="M207" s="67">
        <f>IF(SIN(N207/$J$7)&gt;0,$J$7*ACOS((SIN($D$4/$J$7)-SIN(G207/$J$7)*O207)/(COS(G207/$J$7)*SIN(P207/$J$7))),360-($J$7*ACOS((SIN($D$4/$J$7)-SIN(G207/$J$7)*O207)/(COS(G207/$J$7)*SIN(P207/$J$7)))))</f>
        <v>318.76581763643605</v>
      </c>
      <c r="N207" s="68">
        <f>+F207-$D$3</f>
        <v>-128.06</v>
      </c>
      <c r="O207" s="69">
        <f>SIN(G207/$J$7)*SIN($D$4/$J$7)+COS(G207/$J$7)*COS($D$4/$J$7)*COS(N207/$J$7)</f>
        <v>0.09441959632766234</v>
      </c>
      <c r="P207" s="59">
        <f t="shared" si="11"/>
        <v>84.58208502618614</v>
      </c>
      <c r="Q207" s="38"/>
    </row>
    <row r="208" spans="1:17" ht="12" customHeight="1">
      <c r="A208" s="46">
        <f t="shared" si="9"/>
        <v>201</v>
      </c>
      <c r="B208" s="46" t="s">
        <v>439</v>
      </c>
      <c r="C208" s="46" t="s">
        <v>440</v>
      </c>
      <c r="D208" s="61" t="s">
        <v>13</v>
      </c>
      <c r="E208" s="61" t="s">
        <v>21</v>
      </c>
      <c r="F208" s="64">
        <f>-4.4</f>
        <v>-4.4</v>
      </c>
      <c r="G208" s="64">
        <v>50.9</v>
      </c>
      <c r="H208" s="65">
        <f>IF(SIN(J208/$J$7)&gt;0,$J$7*ACOS((SIN(G208/$J$7)-SIN($D$4/$J$7)*K208)/(COS($D$4/$J$7)*SIN(L208/$J$7))),360-($J$7*ACOS((SIN(G208/$J$7)-SIN($D$4/$J$7)*K208)/(COS($D$4/$J$7)*SIN(L208/$J$7)))))</f>
        <v>35.14342940687814</v>
      </c>
      <c r="I208" s="66">
        <f>69.041*$J$7*(ACOS(SIN($D$4/$J$7)*SIN(G208/$J$7)+COS($D$4/$J$7)*COS(G208/$J$7)*COS(J208/$J$7)))</f>
        <v>5438.566072403491</v>
      </c>
      <c r="J208" s="63">
        <f>+$D$3-F208</f>
        <v>116.46000000000001</v>
      </c>
      <c r="K208" s="63">
        <f>SIN($D$4/$J$7)*SIN(G208/$J$7)+COS($D$4/$J$7)*COS(G208/$J$7)*COS(J208/$J$7)</f>
        <v>0.1946967477449975</v>
      </c>
      <c r="L208" s="63">
        <f t="shared" si="10"/>
        <v>78.77299101118888</v>
      </c>
      <c r="M208" s="67">
        <f>IF(SIN(N208/$J$7)&gt;0,$J$7*ACOS((SIN($D$4/$J$7)-SIN(G208/$J$7)*O208)/(COS(G208/$J$7)*SIN(P208/$J$7))),360-($J$7*ACOS((SIN($D$4/$J$7)-SIN(G208/$J$7)*O208)/(COS(G208/$J$7)*SIN(P208/$J$7)))))</f>
        <v>310.4778038104629</v>
      </c>
      <c r="N208" s="68">
        <f>+F208-$D$3</f>
        <v>-116.46000000000001</v>
      </c>
      <c r="O208" s="69">
        <f>SIN(G208/$J$7)*SIN($D$4/$J$7)+COS(G208/$J$7)*COS($D$4/$J$7)*COS(N208/$J$7)</f>
        <v>0.1946967477449975</v>
      </c>
      <c r="P208" s="59">
        <f t="shared" si="11"/>
        <v>78.77299101118888</v>
      </c>
      <c r="Q208" s="38"/>
    </row>
    <row r="209" spans="1:17" ht="12" customHeight="1">
      <c r="A209" s="46">
        <f t="shared" si="9"/>
        <v>202</v>
      </c>
      <c r="B209" s="46" t="s">
        <v>441</v>
      </c>
      <c r="C209" s="46" t="s">
        <v>442</v>
      </c>
      <c r="D209" s="61" t="s">
        <v>70</v>
      </c>
      <c r="E209" s="61" t="s">
        <v>373</v>
      </c>
      <c r="F209" s="64">
        <v>52</v>
      </c>
      <c r="G209" s="64">
        <v>63.01</v>
      </c>
      <c r="H209" s="65">
        <f>IF(SIN(J209/$J$7)&gt;0,$J$7*ACOS((SIN(G209/$J$7)-SIN($D$4/$J$7)*K209)/(COS($D$4/$J$7)*SIN(L209/$J$7))),360-($J$7*ACOS((SIN(G209/$J$7)-SIN($D$4/$J$7)*K209)/(COS($D$4/$J$7)*SIN(L209/$J$7)))))</f>
        <v>32.49401647787012</v>
      </c>
      <c r="I209" s="66">
        <f>69.041*$J$7*(ACOS(SIN($D$4/$J$7)*SIN(G209/$J$7)+COS($D$4/$J$7)*COS(G209/$J$7)*COS(J209/$J$7)))</f>
        <v>3249.0147928669003</v>
      </c>
      <c r="J209" s="63">
        <f>+$D$3-F209</f>
        <v>60.06</v>
      </c>
      <c r="K209" s="63">
        <f>SIN($D$4/$J$7)*SIN(G209/$J$7)+COS($D$4/$J$7)*COS(G209/$J$7)*COS(J209/$J$7)</f>
        <v>0.6812422312905723</v>
      </c>
      <c r="L209" s="63">
        <f t="shared" si="10"/>
        <v>47.05920819320259</v>
      </c>
      <c r="M209" s="67">
        <f>IF(SIN(N209/$J$7)&gt;0,$J$7*ACOS((SIN($D$4/$J$7)-SIN(G209/$J$7)*O209)/(COS(G209/$J$7)*SIN(P209/$J$7))),360-($J$7*ACOS((SIN($D$4/$J$7)-SIN(G209/$J$7)*O209)/(COS(G209/$J$7)*SIN(P209/$J$7)))))</f>
        <v>260.5793029176154</v>
      </c>
      <c r="N209" s="68">
        <f>+F209-$D$3</f>
        <v>-60.06</v>
      </c>
      <c r="O209" s="69">
        <f>SIN(G209/$J$7)*SIN($D$4/$J$7)+COS(G209/$J$7)*COS($D$4/$J$7)*COS(N209/$J$7)</f>
        <v>0.6812422312905723</v>
      </c>
      <c r="P209" s="59">
        <f t="shared" si="11"/>
        <v>47.05920819320259</v>
      </c>
      <c r="Q209" s="38"/>
    </row>
    <row r="210" spans="1:17" ht="12" customHeight="1">
      <c r="A210" s="46">
        <f t="shared" si="9"/>
        <v>203</v>
      </c>
      <c r="B210" s="46" t="s">
        <v>443</v>
      </c>
      <c r="C210" s="46" t="s">
        <v>444</v>
      </c>
      <c r="D210" s="61" t="s">
        <v>13</v>
      </c>
      <c r="E210" s="61" t="s">
        <v>21</v>
      </c>
      <c r="F210" s="64">
        <v>7</v>
      </c>
      <c r="G210" s="64">
        <v>62</v>
      </c>
      <c r="H210" s="65">
        <f>IF(SIN(J210/$J$7)&gt;0,$J$7*ACOS((SIN(G210/$J$7)-SIN($D$4/$J$7)*K210)/(COS($D$4/$J$7)*SIN(L210/$J$7))),360-($J$7*ACOS((SIN(G210/$J$7)-SIN($D$4/$J$7)*K210)/(COS($D$4/$J$7)*SIN(L210/$J$7)))))</f>
        <v>29.439462467379254</v>
      </c>
      <c r="I210" s="66">
        <f>69.041*$J$7*(ACOS(SIN($D$4/$J$7)*SIN(G210/$J$7)+COS($D$4/$J$7)*COS(G210/$J$7)*COS(J210/$J$7)))</f>
        <v>4644.715536544565</v>
      </c>
      <c r="J210" s="63">
        <f>+$D$3-F210</f>
        <v>105.06</v>
      </c>
      <c r="K210" s="63">
        <f>SIN($D$4/$J$7)*SIN(G210/$J$7)+COS($D$4/$J$7)*COS(G210/$J$7)*COS(J210/$J$7)</f>
        <v>0.3863126748510554</v>
      </c>
      <c r="L210" s="63">
        <f t="shared" si="10"/>
        <v>67.27474307360214</v>
      </c>
      <c r="M210" s="67">
        <f>IF(SIN(N210/$J$7)&gt;0,$J$7*ACOS((SIN($D$4/$J$7)-SIN(G210/$J$7)*O210)/(COS(G210/$J$7)*SIN(P210/$J$7))),360-($J$7*ACOS((SIN($D$4/$J$7)-SIN(G210/$J$7)*O210)/(COS(G210/$J$7)*SIN(P210/$J$7)))))</f>
        <v>299.24775216150323</v>
      </c>
      <c r="N210" s="68">
        <f>+F210-$D$3</f>
        <v>-105.06</v>
      </c>
      <c r="O210" s="69">
        <f>SIN(G210/$J$7)*SIN($D$4/$J$7)+COS(G210/$J$7)*COS($D$4/$J$7)*COS(N210/$J$7)</f>
        <v>0.3863126748510554</v>
      </c>
      <c r="P210" s="59">
        <f t="shared" si="11"/>
        <v>67.27474307360214</v>
      </c>
      <c r="Q210" s="38"/>
    </row>
    <row r="211" spans="1:17" ht="12" customHeight="1">
      <c r="A211" s="46">
        <f t="shared" si="9"/>
        <v>204</v>
      </c>
      <c r="B211" s="46" t="s">
        <v>445</v>
      </c>
      <c r="C211" s="46" t="s">
        <v>446</v>
      </c>
      <c r="D211" s="61" t="s">
        <v>13</v>
      </c>
      <c r="E211" s="61" t="s">
        <v>21</v>
      </c>
      <c r="F211" s="64">
        <f>-12.6</f>
        <v>-12.6</v>
      </c>
      <c r="G211" s="64">
        <v>55.7</v>
      </c>
      <c r="H211" s="65">
        <f>IF(SIN(J211/$J$7)&gt;0,$J$7*ACOS((SIN(G211/$J$7)-SIN($D$4/$J$7)*K211)/(COS($D$4/$J$7)*SIN(L211/$J$7))),360-($J$7*ACOS((SIN(G211/$J$7)-SIN($D$4/$J$7)*K211)/(COS($D$4/$J$7)*SIN(L211/$J$7)))))</f>
        <v>28.169005151943697</v>
      </c>
      <c r="I211" s="66">
        <f>69.041*$J$7*(ACOS(SIN($D$4/$J$7)*SIN(G211/$J$7)+COS($D$4/$J$7)*COS(G211/$J$7)*COS(J211/$J$7)))</f>
        <v>5459.651683470023</v>
      </c>
      <c r="J211" s="63">
        <f>+$D$3-F211</f>
        <v>124.66</v>
      </c>
      <c r="K211" s="63">
        <f>SIN($D$4/$J$7)*SIN(G211/$J$7)+COS($D$4/$J$7)*COS(G211/$J$7)*COS(J211/$J$7)</f>
        <v>0.18946565175621577</v>
      </c>
      <c r="L211" s="63">
        <f t="shared" si="10"/>
        <v>79.07839810359096</v>
      </c>
      <c r="M211" s="67">
        <f>IF(SIN(N211/$J$7)&gt;0,$J$7*ACOS((SIN($D$4/$J$7)-SIN(G211/$J$7)*O211)/(COS(G211/$J$7)*SIN(P211/$J$7))),360-($J$7*ACOS((SIN($D$4/$J$7)-SIN(G211/$J$7)*O211)/(COS(G211/$J$7)*SIN(P211/$J$7)))))</f>
        <v>315.7208745655669</v>
      </c>
      <c r="N211" s="68">
        <f>+F211-$D$3</f>
        <v>-124.66</v>
      </c>
      <c r="O211" s="69">
        <f>SIN(G211/$J$7)*SIN($D$4/$J$7)+COS(G211/$J$7)*COS($D$4/$J$7)*COS(N211/$J$7)</f>
        <v>0.18946565175621577</v>
      </c>
      <c r="P211" s="59">
        <f t="shared" si="11"/>
        <v>79.07839810359096</v>
      </c>
      <c r="Q211" s="38"/>
    </row>
    <row r="212" spans="1:17" ht="12" customHeight="1">
      <c r="A212" s="46">
        <f t="shared" si="9"/>
        <v>205</v>
      </c>
      <c r="B212" s="46" t="s">
        <v>447</v>
      </c>
      <c r="C212" s="46" t="s">
        <v>448</v>
      </c>
      <c r="D212" s="61" t="s">
        <v>37</v>
      </c>
      <c r="E212" s="61" t="s">
        <v>134</v>
      </c>
      <c r="F212" s="64">
        <f>-146</f>
        <v>-146</v>
      </c>
      <c r="G212" s="64">
        <f>-7</f>
        <v>-7</v>
      </c>
      <c r="H212" s="65">
        <f>IF(SIN(J212/$J$7)&gt;0,$J$7*ACOS((SIN(G212/$J$7)-SIN($D$4/$J$7)*K212)/(COS($D$4/$J$7)*SIN(L212/$J$7))),360-($J$7*ACOS((SIN(G212/$J$7)-SIN($D$4/$J$7)*K212)/(COS($D$4/$J$7)*SIN(L212/$J$7)))))</f>
        <v>270.70331065087845</v>
      </c>
      <c r="I212" s="66">
        <f>69.041*$J$7*(ACOS(SIN($D$4/$J$7)*SIN(G212/$J$7)+COS($D$4/$J$7)*COS(G212/$J$7)*COS(J212/$J$7)))</f>
        <v>7166.271863615554</v>
      </c>
      <c r="J212" s="63">
        <f>+$D$3-F212</f>
        <v>258.06</v>
      </c>
      <c r="K212" s="63">
        <f>SIN($D$4/$J$7)*SIN(G212/$J$7)+COS($D$4/$J$7)*COS(G212/$J$7)*COS(J212/$J$7)</f>
        <v>-0.2384883011377235</v>
      </c>
      <c r="L212" s="63">
        <f t="shared" si="10"/>
        <v>103.79733583835046</v>
      </c>
      <c r="M212" s="67">
        <f>IF(SIN(N212/$J$7)&gt;0,$J$7*ACOS((SIN($D$4/$J$7)-SIN(G212/$J$7)*O212)/(COS(G212/$J$7)*SIN(P212/$J$7))),360-($J$7*ACOS((SIN($D$4/$J$7)-SIN(G212/$J$7)*O212)/(COS(G212/$J$7)*SIN(P212/$J$7)))))</f>
        <v>57.097831665632604</v>
      </c>
      <c r="N212" s="68">
        <f>+F212-$D$3</f>
        <v>-258.06</v>
      </c>
      <c r="O212" s="69">
        <f>SIN(G212/$J$7)*SIN($D$4/$J$7)+COS(G212/$J$7)*COS($D$4/$J$7)*COS(N212/$J$7)</f>
        <v>-0.2384883011377235</v>
      </c>
      <c r="P212" s="59">
        <f t="shared" si="11"/>
        <v>103.79733583835046</v>
      </c>
      <c r="Q212" s="38"/>
    </row>
    <row r="213" spans="1:17" ht="12" customHeight="1">
      <c r="A213" s="46">
        <f t="shared" si="9"/>
        <v>206</v>
      </c>
      <c r="B213" s="46" t="s">
        <v>449</v>
      </c>
      <c r="C213" s="46" t="s">
        <v>450</v>
      </c>
      <c r="D213" s="61" t="s">
        <v>118</v>
      </c>
      <c r="E213" s="61" t="s">
        <v>119</v>
      </c>
      <c r="F213" s="64">
        <v>70</v>
      </c>
      <c r="G213" s="64">
        <v>12.5</v>
      </c>
      <c r="H213" s="65">
        <f>IF(SIN(J213/$J$7)&gt;0,$J$7*ACOS((SIN(G213/$J$7)-SIN($D$4/$J$7)*K213)/(COS($D$4/$J$7)*SIN(L213/$J$7))),360-($J$7*ACOS((SIN(G213/$J$7)-SIN($D$4/$J$7)*K213)/(COS($D$4/$J$7)*SIN(L213/$J$7)))))</f>
        <v>108.60860211205433</v>
      </c>
      <c r="I213" s="66">
        <f>69.041*$J$7*(ACOS(SIN($D$4/$J$7)*SIN(G213/$J$7)+COS($D$4/$J$7)*COS(G213/$J$7)*COS(J213/$J$7)))</f>
        <v>3012.8534346610086</v>
      </c>
      <c r="J213" s="63">
        <f>+$D$3-F213</f>
        <v>42.06</v>
      </c>
      <c r="K213" s="63">
        <f>SIN($D$4/$J$7)*SIN(G213/$J$7)+COS($D$4/$J$7)*COS(G213/$J$7)*COS(J213/$J$7)</f>
        <v>0.7237069538052793</v>
      </c>
      <c r="L213" s="63">
        <f t="shared" si="10"/>
        <v>43.638612341376984</v>
      </c>
      <c r="M213" s="67">
        <f>IF(SIN(N213/$J$7)&gt;0,$J$7*ACOS((SIN($D$4/$J$7)-SIN(G213/$J$7)*O213)/(COS(G213/$J$7)*SIN(P213/$J$7))),360-($J$7*ACOS((SIN($D$4/$J$7)-SIN(G213/$J$7)*O213)/(COS(G213/$J$7)*SIN(P213/$J$7)))))</f>
        <v>306.00061292056625</v>
      </c>
      <c r="N213" s="68">
        <f>+F213-$D$3</f>
        <v>-42.06</v>
      </c>
      <c r="O213" s="69">
        <f>SIN(G213/$J$7)*SIN($D$4/$J$7)+COS(G213/$J$7)*COS($D$4/$J$7)*COS(N213/$J$7)</f>
        <v>0.7237069538052793</v>
      </c>
      <c r="P213" s="59">
        <f t="shared" si="11"/>
        <v>43.638612341376984</v>
      </c>
      <c r="Q213" s="38"/>
    </row>
    <row r="214" spans="1:17" ht="12" customHeight="1">
      <c r="A214" s="46">
        <f t="shared" si="9"/>
        <v>207</v>
      </c>
      <c r="B214" s="46" t="s">
        <v>451</v>
      </c>
      <c r="C214" s="46" t="s">
        <v>452</v>
      </c>
      <c r="D214" s="61" t="s">
        <v>17</v>
      </c>
      <c r="E214" s="61" t="s">
        <v>336</v>
      </c>
      <c r="F214" s="64">
        <v>-127.5</v>
      </c>
      <c r="G214" s="64">
        <v>39</v>
      </c>
      <c r="H214" s="65">
        <f>IF(SIN(J214/$J$7)&gt;0,$J$7*ACOS((SIN(G214/$J$7)-SIN($D$4/$J$7)*K214)/(COS($D$4/$J$7)*SIN(L214/$J$7))),360-($J$7*ACOS((SIN(G214/$J$7)-SIN($D$4/$J$7)*K214)/(COS($D$4/$J$7)*SIN(L214/$J$7)))))</f>
        <v>317.92105451130726</v>
      </c>
      <c r="I214" s="66">
        <f>69.041*$J$7*(ACOS(SIN($D$4/$J$7)*SIN(G214/$J$7)+COS($D$4/$J$7)*COS(G214/$J$7)*COS(J214/$J$7)))</f>
        <v>6135.887237433959</v>
      </c>
      <c r="J214" s="63">
        <f>+$D$3-F214</f>
        <v>239.56</v>
      </c>
      <c r="K214" s="63">
        <f>SIN($D$4/$J$7)*SIN(G214/$J$7)+COS($D$4/$J$7)*COS(G214/$J$7)*COS(J214/$J$7)</f>
        <v>0.01966696349275665</v>
      </c>
      <c r="L214" s="63">
        <f t="shared" si="10"/>
        <v>88.87309334212945</v>
      </c>
      <c r="M214" s="67">
        <f>IF(SIN(N214/$J$7)&gt;0,$J$7*ACOS((SIN($D$4/$J$7)-SIN(G214/$J$7)*O214)/(COS(G214/$J$7)*SIN(P214/$J$7))),360-($J$7*ACOS((SIN($D$4/$J$7)-SIN(G214/$J$7)*O214)/(COS(G214/$J$7)*SIN(P214/$J$7)))))</f>
        <v>45.94450296116113</v>
      </c>
      <c r="N214" s="68">
        <f>+F214-$D$3</f>
        <v>-239.56</v>
      </c>
      <c r="O214" s="69">
        <f>SIN(G214/$J$7)*SIN($D$4/$J$7)+COS(G214/$J$7)*COS($D$4/$J$7)*COS(N214/$J$7)</f>
        <v>0.01966696349275665</v>
      </c>
      <c r="P214" s="59">
        <f t="shared" si="11"/>
        <v>88.87309334212945</v>
      </c>
      <c r="Q214" s="38"/>
    </row>
    <row r="215" spans="1:17" ht="12" customHeight="1">
      <c r="A215" s="46">
        <f t="shared" si="9"/>
        <v>208</v>
      </c>
      <c r="B215" s="46" t="s">
        <v>453</v>
      </c>
      <c r="C215" s="46" t="s">
        <v>454</v>
      </c>
      <c r="D215" s="61" t="s">
        <v>13</v>
      </c>
      <c r="E215" s="61" t="s">
        <v>21</v>
      </c>
      <c r="F215" s="64">
        <f>-4.9</f>
        <v>-4.9</v>
      </c>
      <c r="G215" s="64">
        <v>52.4</v>
      </c>
      <c r="H215" s="65">
        <f>IF(SIN(J215/$J$7)&gt;0,$J$7*ACOS((SIN(G215/$J$7)-SIN($D$4/$J$7)*K215)/(COS($D$4/$J$7)*SIN(L215/$J$7))),360-($J$7*ACOS((SIN(G215/$J$7)-SIN($D$4/$J$7)*K215)/(COS($D$4/$J$7)*SIN(L215/$J$7)))))</f>
        <v>33.77386343362388</v>
      </c>
      <c r="I215" s="66">
        <f>69.041*$J$7*(ACOS(SIN($D$4/$J$7)*SIN(G215/$J$7)+COS($D$4/$J$7)*COS(G215/$J$7)*COS(J215/$J$7)))</f>
        <v>5387.535131157296</v>
      </c>
      <c r="J215" s="63">
        <f>+$D$3-F215</f>
        <v>116.96000000000001</v>
      </c>
      <c r="K215" s="63">
        <f>SIN($D$4/$J$7)*SIN(G215/$J$7)+COS($D$4/$J$7)*COS(G215/$J$7)*COS(J215/$J$7)</f>
        <v>0.20733374780524866</v>
      </c>
      <c r="L215" s="63">
        <f t="shared" si="10"/>
        <v>78.0338513514766</v>
      </c>
      <c r="M215" s="67">
        <f>IF(SIN(N215/$J$7)&gt;0,$J$7*ACOS((SIN($D$4/$J$7)-SIN(G215/$J$7)*O215)/(COS(G215/$J$7)*SIN(P215/$J$7))),360-($J$7*ACOS((SIN($D$4/$J$7)-SIN(G215/$J$7)*O215)/(COS(G215/$J$7)*SIN(P215/$J$7)))))</f>
        <v>310.5946282933206</v>
      </c>
      <c r="N215" s="68">
        <f>+F215-$D$3</f>
        <v>-116.96000000000001</v>
      </c>
      <c r="O215" s="69">
        <f>SIN(G215/$J$7)*SIN($D$4/$J$7)+COS(G215/$J$7)*COS($D$4/$J$7)*COS(N215/$J$7)</f>
        <v>0.20733374780524866</v>
      </c>
      <c r="P215" s="59">
        <f t="shared" si="11"/>
        <v>78.0338513514766</v>
      </c>
      <c r="Q215" s="38"/>
    </row>
    <row r="216" spans="1:17" ht="12" customHeight="1">
      <c r="A216" s="46">
        <f t="shared" si="9"/>
        <v>209</v>
      </c>
      <c r="B216" s="46" t="s">
        <v>455</v>
      </c>
      <c r="C216" s="46" t="s">
        <v>456</v>
      </c>
      <c r="D216" s="61" t="s">
        <v>118</v>
      </c>
      <c r="E216" s="61" t="s">
        <v>119</v>
      </c>
      <c r="F216" s="64">
        <v>69</v>
      </c>
      <c r="G216" s="64">
        <v>12</v>
      </c>
      <c r="H216" s="65">
        <f>IF(SIN(J216/$J$7)&gt;0,$J$7*ACOS((SIN(G216/$J$7)-SIN($D$4/$J$7)*K216)/(COS($D$4/$J$7)*SIN(L216/$J$7))),360-($J$7*ACOS((SIN(G216/$J$7)-SIN($D$4/$J$7)*K216)/(COS($D$4/$J$7)*SIN(L216/$J$7)))))</f>
        <v>108.36429388237109</v>
      </c>
      <c r="I216" s="66">
        <f>69.041*$J$7*(ACOS(SIN($D$4/$J$7)*SIN(G216/$J$7)+COS($D$4/$J$7)*COS(G216/$J$7)*COS(J216/$J$7)))</f>
        <v>3087.7234969245133</v>
      </c>
      <c r="J216" s="63">
        <f>+$D$3-F216</f>
        <v>43.06</v>
      </c>
      <c r="K216" s="63">
        <f>SIN($D$4/$J$7)*SIN(G216/$J$7)+COS($D$4/$J$7)*COS(G216/$J$7)*COS(J216/$J$7)</f>
        <v>0.7105165482021671</v>
      </c>
      <c r="L216" s="63">
        <f t="shared" si="10"/>
        <v>44.72304133666247</v>
      </c>
      <c r="M216" s="67">
        <f>IF(SIN(N216/$J$7)&gt;0,$J$7*ACOS((SIN($D$4/$J$7)-SIN(G216/$J$7)*O216)/(COS(G216/$J$7)*SIN(P216/$J$7))),360-($J$7*ACOS((SIN($D$4/$J$7)-SIN(G216/$J$7)*O216)/(COS(G216/$J$7)*SIN(P216/$J$7)))))</f>
        <v>306.0375856341174</v>
      </c>
      <c r="N216" s="68">
        <f>+F216-$D$3</f>
        <v>-43.06</v>
      </c>
      <c r="O216" s="69">
        <f>SIN(G216/$J$7)*SIN($D$4/$J$7)+COS(G216/$J$7)*COS($D$4/$J$7)*COS(N216/$J$7)</f>
        <v>0.7105165482021671</v>
      </c>
      <c r="P216" s="59">
        <f t="shared" si="11"/>
        <v>44.72304133666247</v>
      </c>
      <c r="Q216" s="38"/>
    </row>
    <row r="217" spans="1:17" ht="12" customHeight="1">
      <c r="A217" s="46">
        <f t="shared" si="9"/>
        <v>210</v>
      </c>
      <c r="B217" s="46" t="s">
        <v>457</v>
      </c>
      <c r="C217" s="46" t="s">
        <v>458</v>
      </c>
      <c r="D217" s="61" t="s">
        <v>70</v>
      </c>
      <c r="E217" s="61" t="s">
        <v>105</v>
      </c>
      <c r="F217" s="64">
        <v>63</v>
      </c>
      <c r="G217" s="64">
        <v>18</v>
      </c>
      <c r="H217" s="65">
        <f>IF(SIN(J217/$J$7)&gt;0,$J$7*ACOS((SIN(G217/$J$7)-SIN($D$4/$J$7)*K217)/(COS($D$4/$J$7)*SIN(L217/$J$7))),360-($J$7*ACOS((SIN(G217/$J$7)-SIN($D$4/$J$7)*K217)/(COS($D$4/$J$7)*SIN(L217/$J$7)))))</f>
        <v>96.89560636442775</v>
      </c>
      <c r="I217" s="66">
        <f>69.041*$J$7*(ACOS(SIN($D$4/$J$7)*SIN(G217/$J$7)+COS($D$4/$J$7)*COS(G217/$J$7)*COS(J217/$J$7)))</f>
        <v>3200.5618077133563</v>
      </c>
      <c r="J217" s="63">
        <f>+$D$3-F217</f>
        <v>49.06</v>
      </c>
      <c r="K217" s="63">
        <f>SIN($D$4/$J$7)*SIN(G217/$J$7)+COS($D$4/$J$7)*COS(G217/$J$7)*COS(J217/$J$7)</f>
        <v>0.6901576808775488</v>
      </c>
      <c r="L217" s="63">
        <f t="shared" si="10"/>
        <v>46.35740802875619</v>
      </c>
      <c r="M217" s="67">
        <f>IF(SIN(N217/$J$7)&gt;0,$J$7*ACOS((SIN($D$4/$J$7)-SIN(G217/$J$7)*O217)/(COS(G217/$J$7)*SIN(P217/$J$7))),360-($J$7*ACOS((SIN($D$4/$J$7)-SIN(G217/$J$7)*O217)/(COS(G217/$J$7)*SIN(P217/$J$7)))))</f>
        <v>299.5467001391433</v>
      </c>
      <c r="N217" s="68">
        <f>+F217-$D$3</f>
        <v>-49.06</v>
      </c>
      <c r="O217" s="69">
        <f>SIN(G217/$J$7)*SIN($D$4/$J$7)+COS(G217/$J$7)*COS($D$4/$J$7)*COS(N217/$J$7)</f>
        <v>0.6901576808775488</v>
      </c>
      <c r="P217" s="59">
        <f t="shared" si="11"/>
        <v>46.35740802875619</v>
      </c>
      <c r="Q217" s="38"/>
    </row>
    <row r="218" spans="1:17" ht="12" customHeight="1">
      <c r="A218" s="46">
        <f t="shared" si="9"/>
        <v>211</v>
      </c>
      <c r="B218" s="46" t="s">
        <v>459</v>
      </c>
      <c r="C218" s="46" t="s">
        <v>460</v>
      </c>
      <c r="D218" s="61" t="s">
        <v>118</v>
      </c>
      <c r="E218" s="61" t="s">
        <v>461</v>
      </c>
      <c r="F218" s="64">
        <v>43.2</v>
      </c>
      <c r="G218" s="64">
        <f>-23</f>
        <v>-23</v>
      </c>
      <c r="H218" s="65">
        <f>IF(SIN(J218/$J$7)&gt;0,$J$7*ACOS((SIN(G218/$J$7)-SIN($D$4/$J$7)*K218)/(COS($D$4/$J$7)*SIN(L218/$J$7))),360-($J$7*ACOS((SIN(G218/$J$7)-SIN($D$4/$J$7)*K218)/(COS($D$4/$J$7)*SIN(L218/$J$7)))))</f>
        <v>120.66721519539252</v>
      </c>
      <c r="I218" s="66">
        <f>69.041*$J$7*(ACOS(SIN($D$4/$J$7)*SIN(G218/$J$7)+COS($D$4/$J$7)*COS(G218/$J$7)*COS(J218/$J$7)))</f>
        <v>5973.3138316619015</v>
      </c>
      <c r="J218" s="63">
        <f>+$D$3-F218</f>
        <v>68.86</v>
      </c>
      <c r="K218" s="63">
        <f>SIN($D$4/$J$7)*SIN(G218/$J$7)+COS($D$4/$J$7)*COS(G218/$J$7)*COS(J218/$J$7)</f>
        <v>0.0607287575278419</v>
      </c>
      <c r="L218" s="63">
        <f t="shared" si="10"/>
        <v>86.51835621821674</v>
      </c>
      <c r="M218" s="67">
        <f>IF(SIN(N218/$J$7)&gt;0,$J$7*ACOS((SIN($D$4/$J$7)-SIN(G218/$J$7)*O218)/(COS(G218/$J$7)*SIN(P218/$J$7))),360-($J$7*ACOS((SIN($D$4/$J$7)-SIN(G218/$J$7)*O218)/(COS(G218/$J$7)*SIN(P218/$J$7)))))</f>
        <v>308.85329616785145</v>
      </c>
      <c r="N218" s="68">
        <f>+F218-$D$3</f>
        <v>-68.86</v>
      </c>
      <c r="O218" s="69">
        <f>SIN(G218/$J$7)*SIN($D$4/$J$7)+COS(G218/$J$7)*COS($D$4/$J$7)*COS(N218/$J$7)</f>
        <v>0.0607287575278419</v>
      </c>
      <c r="P218" s="59">
        <f t="shared" si="11"/>
        <v>86.51835621821674</v>
      </c>
      <c r="Q218" s="38"/>
    </row>
    <row r="219" spans="1:17" ht="12" customHeight="1">
      <c r="A219" s="46">
        <f t="shared" si="9"/>
        <v>212</v>
      </c>
      <c r="B219" s="46" t="s">
        <v>462</v>
      </c>
      <c r="C219" s="46" t="s">
        <v>463</v>
      </c>
      <c r="D219" s="61" t="s">
        <v>118</v>
      </c>
      <c r="E219" s="61" t="s">
        <v>461</v>
      </c>
      <c r="F219" s="64">
        <v>32</v>
      </c>
      <c r="G219" s="64">
        <f>-3</f>
        <v>-3</v>
      </c>
      <c r="H219" s="65">
        <f>IF(SIN(J219/$J$7)&gt;0,$J$7*ACOS((SIN(G219/$J$7)-SIN($D$4/$J$7)*K219)/(COS($D$4/$J$7)*SIN(L219/$J$7))),360-($J$7*ACOS((SIN(G219/$J$7)-SIN($D$4/$J$7)*K219)/(COS($D$4/$J$7)*SIN(L219/$J$7)))))</f>
        <v>98.03677931181917</v>
      </c>
      <c r="I219" s="66">
        <f>69.041*$J$7*(ACOS(SIN($D$4/$J$7)*SIN(G219/$J$7)+COS($D$4/$J$7)*COS(G219/$J$7)*COS(J219/$J$7)))</f>
        <v>5758.811950178873</v>
      </c>
      <c r="J219" s="63">
        <f>+$D$3-F219</f>
        <v>80.06</v>
      </c>
      <c r="K219" s="63">
        <f>SIN($D$4/$J$7)*SIN(G219/$J$7)+COS($D$4/$J$7)*COS(G219/$J$7)*COS(J219/$J$7)</f>
        <v>0.11473812241772101</v>
      </c>
      <c r="L219" s="63">
        <f t="shared" si="10"/>
        <v>83.41147941337572</v>
      </c>
      <c r="M219" s="67">
        <f>IF(SIN(N219/$J$7)&gt;0,$J$7*ACOS((SIN($D$4/$J$7)-SIN(G219/$J$7)*O219)/(COS(G219/$J$7)*SIN(P219/$J$7))),360-($J$7*ACOS((SIN($D$4/$J$7)-SIN(G219/$J$7)*O219)/(COS(G219/$J$7)*SIN(P219/$J$7)))))</f>
        <v>304.27428985167387</v>
      </c>
      <c r="N219" s="68">
        <f>+F219-$D$3</f>
        <v>-80.06</v>
      </c>
      <c r="O219" s="69">
        <f>SIN(G219/$J$7)*SIN($D$4/$J$7)+COS(G219/$J$7)*COS($D$4/$J$7)*COS(N219/$J$7)</f>
        <v>0.11473812241772101</v>
      </c>
      <c r="P219" s="59">
        <f t="shared" si="11"/>
        <v>83.41147941337572</v>
      </c>
      <c r="Q219" s="38"/>
    </row>
    <row r="220" spans="1:17" ht="12" customHeight="1">
      <c r="A220" s="46">
        <f t="shared" si="9"/>
        <v>213</v>
      </c>
      <c r="B220" s="46" t="s">
        <v>464</v>
      </c>
      <c r="C220" s="46" t="s">
        <v>465</v>
      </c>
      <c r="D220" s="61" t="s">
        <v>118</v>
      </c>
      <c r="E220" s="61" t="s">
        <v>461</v>
      </c>
      <c r="F220" s="64">
        <v>30</v>
      </c>
      <c r="G220" s="64">
        <v>1.5</v>
      </c>
      <c r="H220" s="65">
        <f>IF(SIN(J220/$J$7)&gt;0,$J$7*ACOS((SIN(G220/$J$7)-SIN($D$4/$J$7)*K220)/(COS($D$4/$J$7)*SIN(L220/$J$7))),360-($J$7*ACOS((SIN(G220/$J$7)-SIN($D$4/$J$7)*K220)/(COS($D$4/$J$7)*SIN(L220/$J$7)))))</f>
        <v>93.15078915441381</v>
      </c>
      <c r="I220" s="66">
        <f>69.041*$J$7*(ACOS(SIN($D$4/$J$7)*SIN(G220/$J$7)+COS($D$4/$J$7)*COS(G220/$J$7)*COS(J220/$J$7)))</f>
        <v>5699.774320640954</v>
      </c>
      <c r="J220" s="63">
        <f>+$D$3-F220</f>
        <v>82.06</v>
      </c>
      <c r="K220" s="63">
        <f>SIN($D$4/$J$7)*SIN(G220/$J$7)+COS($D$4/$J$7)*COS(G220/$J$7)*COS(J220/$J$7)</f>
        <v>0.12955070915843725</v>
      </c>
      <c r="L220" s="63">
        <f t="shared" si="10"/>
        <v>82.55636970265428</v>
      </c>
      <c r="M220" s="67">
        <f>IF(SIN(N220/$J$7)&gt;0,$J$7*ACOS((SIN($D$4/$J$7)-SIN(G220/$J$7)*O220)/(COS(G220/$J$7)*SIN(P220/$J$7))),360-($J$7*ACOS((SIN($D$4/$J$7)-SIN(G220/$J$7)*O220)/(COS(G220/$J$7)*SIN(P220/$J$7)))))</f>
        <v>303.650901613821</v>
      </c>
      <c r="N220" s="68">
        <f>+F220-$D$3</f>
        <v>-82.06</v>
      </c>
      <c r="O220" s="69">
        <f>SIN(G220/$J$7)*SIN($D$4/$J$7)+COS(G220/$J$7)*COS($D$4/$J$7)*COS(N220/$J$7)</f>
        <v>0.12955070915843725</v>
      </c>
      <c r="P220" s="59">
        <f t="shared" si="11"/>
        <v>82.55636970265428</v>
      </c>
      <c r="Q220" s="38"/>
    </row>
    <row r="221" spans="1:17" ht="12" customHeight="1">
      <c r="A221" s="46">
        <f t="shared" si="9"/>
        <v>214</v>
      </c>
      <c r="B221" s="46" t="s">
        <v>466</v>
      </c>
      <c r="C221" s="46" t="s">
        <v>467</v>
      </c>
      <c r="D221" s="61" t="s">
        <v>118</v>
      </c>
      <c r="E221" s="61" t="s">
        <v>461</v>
      </c>
      <c r="F221" s="64">
        <v>32</v>
      </c>
      <c r="G221" s="64">
        <v>-21</v>
      </c>
      <c r="H221" s="65">
        <f>IF(SIN(J221/$J$7)&gt;0,$J$7*ACOS((SIN(G221/$J$7)-SIN($D$4/$J$7)*K221)/(COS($D$4/$J$7)*SIN(L221/$J$7))),360-($J$7*ACOS((SIN(G221/$J$7)-SIN($D$4/$J$7)*K221)/(COS($D$4/$J$7)*SIN(L221/$J$7)))))</f>
        <v>112.86234016970508</v>
      </c>
      <c r="I221" s="66">
        <f>69.041*$J$7*(ACOS(SIN($D$4/$J$7)*SIN(G221/$J$7)+COS($D$4/$J$7)*COS(G221/$J$7)*COS(J221/$J$7)))</f>
        <v>6466.051876556685</v>
      </c>
      <c r="J221" s="63">
        <f>+$D$3-F221</f>
        <v>80.06</v>
      </c>
      <c r="K221" s="63">
        <f>SIN($D$4/$J$7)*SIN(G221/$J$7)+COS($D$4/$J$7)*COS(G221/$J$7)*COS(J221/$J$7)</f>
        <v>-0.06375282156585071</v>
      </c>
      <c r="L221" s="63">
        <f t="shared" si="10"/>
        <v>93.65524654273091</v>
      </c>
      <c r="M221" s="67">
        <f>IF(SIN(N221/$J$7)&gt;0,$J$7*ACOS((SIN($D$4/$J$7)-SIN(G221/$J$7)*O221)/(COS(G221/$J$7)*SIN(P221/$J$7))),360-($J$7*ACOS((SIN($D$4/$J$7)-SIN(G221/$J$7)*O221)/(COS(G221/$J$7)*SIN(P221/$J$7)))))</f>
        <v>304.6574076649279</v>
      </c>
      <c r="N221" s="68">
        <f>+F221-$D$3</f>
        <v>-80.06</v>
      </c>
      <c r="O221" s="69">
        <f>SIN(G221/$J$7)*SIN($D$4/$J$7)+COS(G221/$J$7)*COS($D$4/$J$7)*COS(N221/$J$7)</f>
        <v>-0.06375282156585071</v>
      </c>
      <c r="P221" s="59">
        <f t="shared" si="11"/>
        <v>93.65524654273091</v>
      </c>
      <c r="Q221" s="38"/>
    </row>
    <row r="222" spans="1:17" ht="12" customHeight="1">
      <c r="A222" s="46">
        <f t="shared" si="9"/>
        <v>215</v>
      </c>
      <c r="B222" s="46" t="s">
        <v>468</v>
      </c>
      <c r="C222" s="46" t="s">
        <v>469</v>
      </c>
      <c r="D222" s="61" t="s">
        <v>118</v>
      </c>
      <c r="E222" s="61" t="s">
        <v>119</v>
      </c>
      <c r="F222" s="64">
        <v>55</v>
      </c>
      <c r="G222" s="64">
        <f>-6</f>
        <v>-6</v>
      </c>
      <c r="H222" s="65">
        <f>IF(SIN(J222/$J$7)&gt;0,$J$7*ACOS((SIN(G222/$J$7)-SIN($D$4/$J$7)*K222)/(COS($D$4/$J$7)*SIN(L222/$J$7))),360-($J$7*ACOS((SIN(G222/$J$7)-SIN($D$4/$J$7)*K222)/(COS($D$4/$J$7)*SIN(L222/$J$7)))))</f>
        <v>114.81844172339623</v>
      </c>
      <c r="I222" s="66">
        <f>69.041*$J$7*(ACOS(SIN($D$4/$J$7)*SIN(G222/$J$7)+COS($D$4/$J$7)*COS(G222/$J$7)*COS(J222/$J$7)))</f>
        <v>4616.334166713837</v>
      </c>
      <c r="J222" s="63">
        <f>+$D$3-F222</f>
        <v>57.06</v>
      </c>
      <c r="K222" s="63">
        <f>SIN($D$4/$J$7)*SIN(G222/$J$7)+COS($D$4/$J$7)*COS(G222/$J$7)*COS(J222/$J$7)</f>
        <v>0.3929203865085468</v>
      </c>
      <c r="L222" s="63">
        <f t="shared" si="10"/>
        <v>66.86366313804605</v>
      </c>
      <c r="M222" s="67">
        <f>IF(SIN(N222/$J$7)&gt;0,$J$7*ACOS((SIN($D$4/$J$7)-SIN(G222/$J$7)*O222)/(COS(G222/$J$7)*SIN(P222/$J$7))),360-($J$7*ACOS((SIN($D$4/$J$7)-SIN(G222/$J$7)*O222)/(COS(G222/$J$7)*SIN(P222/$J$7)))))</f>
        <v>310.4829378651445</v>
      </c>
      <c r="N222" s="68">
        <f>+F222-$D$3</f>
        <v>-57.06</v>
      </c>
      <c r="O222" s="69">
        <f>SIN(G222/$J$7)*SIN($D$4/$J$7)+COS(G222/$J$7)*COS($D$4/$J$7)*COS(N222/$J$7)</f>
        <v>0.3929203865085468</v>
      </c>
      <c r="P222" s="59">
        <f t="shared" si="11"/>
        <v>66.86366313804605</v>
      </c>
      <c r="Q222" s="38"/>
    </row>
    <row r="223" spans="1:17" ht="12" customHeight="1">
      <c r="A223" s="46">
        <f t="shared" si="9"/>
        <v>216</v>
      </c>
      <c r="B223" s="46" t="s">
        <v>470</v>
      </c>
      <c r="C223" s="46" t="s">
        <v>471</v>
      </c>
      <c r="D223" s="61" t="s">
        <v>13</v>
      </c>
      <c r="E223" s="61" t="s">
        <v>373</v>
      </c>
      <c r="F223" s="64">
        <f>-50</f>
        <v>-50</v>
      </c>
      <c r="G223" s="64">
        <v>80</v>
      </c>
      <c r="H223" s="65">
        <f>IF(SIN(J223/$J$7)&gt;0,$J$7*ACOS((SIN(G223/$J$7)-SIN($D$4/$J$7)*K223)/(COS($D$4/$J$7)*SIN(L223/$J$7))),360-($J$7*ACOS((SIN(G223/$J$7)-SIN($D$4/$J$7)*K223)/(COS($D$4/$J$7)*SIN(L223/$J$7)))))</f>
        <v>3.356288455327308</v>
      </c>
      <c r="I223" s="66">
        <f>69.041*$J$7*(ACOS(SIN($D$4/$J$7)*SIN(G223/$J$7)+COS($D$4/$J$7)*COS(G223/$J$7)*COS(J223/$J$7)))</f>
        <v>4557.360434591032</v>
      </c>
      <c r="J223" s="63">
        <f>+$D$3-F223</f>
        <v>162.06</v>
      </c>
      <c r="K223" s="63">
        <f>SIN($D$4/$J$7)*SIN(G223/$J$7)+COS($D$4/$J$7)*COS(G223/$J$7)*COS(J223/$J$7)</f>
        <v>0.4065855019350278</v>
      </c>
      <c r="L223" s="63">
        <f t="shared" si="10"/>
        <v>66.00947892688448</v>
      </c>
      <c r="M223" s="67">
        <f>IF(SIN(N223/$J$7)&gt;0,$J$7*ACOS((SIN($D$4/$J$7)-SIN(G223/$J$7)*O223)/(COS(G223/$J$7)*SIN(P223/$J$7))),360-($J$7*ACOS((SIN($D$4/$J$7)-SIN(G223/$J$7)*O223)/(COS(G223/$J$7)*SIN(P223/$J$7)))))</f>
        <v>343.68137022088314</v>
      </c>
      <c r="N223" s="68">
        <f>+F223-$D$3</f>
        <v>-162.06</v>
      </c>
      <c r="O223" s="69">
        <f>SIN(G223/$J$7)*SIN($D$4/$J$7)+COS(G223/$J$7)*COS($D$4/$J$7)*COS(N223/$J$7)</f>
        <v>0.4065855019350278</v>
      </c>
      <c r="P223" s="59">
        <f t="shared" si="11"/>
        <v>66.00947892688448</v>
      </c>
      <c r="Q223" s="38"/>
    </row>
    <row r="224" spans="1:17" ht="12" customHeight="1">
      <c r="A224" s="46">
        <f t="shared" si="9"/>
        <v>217</v>
      </c>
      <c r="B224" s="46" t="s">
        <v>472</v>
      </c>
      <c r="C224" s="46" t="s">
        <v>473</v>
      </c>
      <c r="D224" s="61" t="s">
        <v>13</v>
      </c>
      <c r="E224" s="61" t="s">
        <v>474</v>
      </c>
      <c r="F224" s="64">
        <v>-29</v>
      </c>
      <c r="G224" s="64">
        <v>69</v>
      </c>
      <c r="H224" s="65">
        <f>IF(SIN(J224/$J$7)&gt;0,$J$7*ACOS((SIN(G224/$J$7)-SIN($D$4/$J$7)*K224)/(COS($D$4/$J$7)*SIN(L224/$J$7))),360-($J$7*ACOS((SIN(G224/$J$7)-SIN($D$4/$J$7)*K224)/(COS($D$4/$J$7)*SIN(L224/$J$7)))))</f>
        <v>13.584779981514231</v>
      </c>
      <c r="I224" s="66">
        <f>69.041*$J$7*(ACOS(SIN($D$4/$J$7)*SIN(G224/$J$7)+COS($D$4/$J$7)*COS(G224/$J$7)*COS(J224/$J$7)))</f>
        <v>5076.00600319424</v>
      </c>
      <c r="J224" s="63">
        <f>+$D$3-F224</f>
        <v>141.06</v>
      </c>
      <c r="K224" s="63">
        <f>SIN($D$4/$J$7)*SIN(G224/$J$7)+COS($D$4/$J$7)*COS(G224/$J$7)*COS(J224/$J$7)</f>
        <v>0.28365356284524634</v>
      </c>
      <c r="L224" s="63">
        <f t="shared" si="10"/>
        <v>73.5216176358141</v>
      </c>
      <c r="M224" s="67">
        <f>IF(SIN(N224/$J$7)&gt;0,$J$7*ACOS((SIN($D$4/$J$7)-SIN(G224/$J$7)*O224)/(COS(G224/$J$7)*SIN(P224/$J$7))),360-($J$7*ACOS((SIN($D$4/$J$7)-SIN(G224/$J$7)*O224)/(COS(G224/$J$7)*SIN(P224/$J$7)))))</f>
        <v>326.8908925558532</v>
      </c>
      <c r="N224" s="68">
        <f>+F224-$D$3</f>
        <v>-141.06</v>
      </c>
      <c r="O224" s="69">
        <f>SIN(G224/$J$7)*SIN($D$4/$J$7)+COS(G224/$J$7)*COS($D$4/$J$7)*COS(N224/$J$7)</f>
        <v>0.28365356284524634</v>
      </c>
      <c r="P224" s="59">
        <f t="shared" si="11"/>
        <v>73.5216176358141</v>
      </c>
      <c r="Q224" s="38"/>
    </row>
    <row r="225" spans="1:17" ht="12" customHeight="1">
      <c r="A225" s="46">
        <f t="shared" si="9"/>
        <v>218</v>
      </c>
      <c r="B225" s="46" t="s">
        <v>475</v>
      </c>
      <c r="C225" s="46" t="s">
        <v>476</v>
      </c>
      <c r="D225" s="61" t="s">
        <v>24</v>
      </c>
      <c r="E225" s="61" t="s">
        <v>48</v>
      </c>
      <c r="F225" s="64">
        <f>-14</f>
        <v>-14</v>
      </c>
      <c r="G225" s="64">
        <v>25</v>
      </c>
      <c r="H225" s="65">
        <f>IF(SIN(J225/$J$7)&gt;0,$J$7*ACOS((SIN(G225/$J$7)-SIN($D$4/$J$7)*K225)/(COS($D$4/$J$7)*SIN(L225/$J$7))),360-($J$7*ACOS((SIN(G225/$J$7)-SIN($D$4/$J$7)*K225)/(COS($D$4/$J$7)*SIN(L225/$J$7)))))</f>
        <v>48.55069511817624</v>
      </c>
      <c r="I225" s="66">
        <f>69.041*$J$7*(ACOS(SIN($D$4/$J$7)*SIN(G225/$J$7)+COS($D$4/$J$7)*COS(G225/$J$7)*COS(J225/$J$7)))</f>
        <v>7054.836624377358</v>
      </c>
      <c r="J225" s="63">
        <f>+$D$3-F225</f>
        <v>126.06</v>
      </c>
      <c r="K225" s="63">
        <f>SIN($D$4/$J$7)*SIN(G225/$J$7)+COS($D$4/$J$7)*COS(G225/$J$7)*COS(J225/$J$7)</f>
        <v>-0.21103975406833853</v>
      </c>
      <c r="L225" s="63">
        <f t="shared" si="10"/>
        <v>102.18329144098954</v>
      </c>
      <c r="M225" s="67">
        <f>IF(SIN(N225/$J$7)&gt;0,$J$7*ACOS((SIN($D$4/$J$7)-SIN(G225/$J$7)*O225)/(COS(G225/$J$7)*SIN(P225/$J$7))),360-($J$7*ACOS((SIN($D$4/$J$7)-SIN(G225/$J$7)*O225)/(COS(G225/$J$7)*SIN(P225/$J$7)))))</f>
        <v>316.4293787422905</v>
      </c>
      <c r="N225" s="68">
        <f>+F225-$D$3</f>
        <v>-126.06</v>
      </c>
      <c r="O225" s="69">
        <f>SIN(G225/$J$7)*SIN($D$4/$J$7)+COS(G225/$J$7)*COS($D$4/$J$7)*COS(N225/$J$7)</f>
        <v>-0.21103975406833853</v>
      </c>
      <c r="P225" s="59">
        <f t="shared" si="11"/>
        <v>102.18329144098954</v>
      </c>
      <c r="Q225" s="38"/>
    </row>
    <row r="226" spans="1:17" ht="12" customHeight="1">
      <c r="A226" s="46">
        <f t="shared" si="9"/>
        <v>219</v>
      </c>
      <c r="B226" s="46" t="s">
        <v>477</v>
      </c>
      <c r="C226" s="46" t="s">
        <v>478</v>
      </c>
      <c r="D226" s="61" t="s">
        <v>17</v>
      </c>
      <c r="E226" s="61" t="s">
        <v>65</v>
      </c>
      <c r="F226" s="64">
        <f>-90.5</f>
        <v>-90.5</v>
      </c>
      <c r="G226" s="64">
        <v>24</v>
      </c>
      <c r="H226" s="65">
        <f>IF(SIN(J226/$J$7)&gt;0,$J$7*ACOS((SIN(G226/$J$7)-SIN($D$4/$J$7)*K226)/(COS($D$4/$J$7)*SIN(L226/$J$7))),360-($J$7*ACOS((SIN(G226/$J$7)-SIN($D$4/$J$7)*K226)/(COS($D$4/$J$7)*SIN(L226/$J$7)))))</f>
        <v>336.478437377024</v>
      </c>
      <c r="I226" s="66">
        <f>69.041*$J$7*(ACOS(SIN($D$4/$J$7)*SIN(G226/$J$7)+COS($D$4/$J$7)*COS(G226/$J$7)*COS(J226/$J$7)))</f>
        <v>8186.512697165262</v>
      </c>
      <c r="J226" s="63">
        <f>+$D$3-F226</f>
        <v>202.56</v>
      </c>
      <c r="K226" s="63">
        <f>SIN($D$4/$J$7)*SIN(G226/$J$7)+COS($D$4/$J$7)*COS(G226/$J$7)*COS(J226/$J$7)</f>
        <v>-0.47830341907269425</v>
      </c>
      <c r="L226" s="63">
        <f t="shared" si="10"/>
        <v>118.5746541499292</v>
      </c>
      <c r="M226" s="67">
        <f>IF(SIN(N226/$J$7)&gt;0,$J$7*ACOS((SIN($D$4/$J$7)-SIN(G226/$J$7)*O226)/(COS(G226/$J$7)*SIN(P226/$J$7))),360-($J$7*ACOS((SIN($D$4/$J$7)-SIN(G226/$J$7)*O226)/(COS(G226/$J$7)*SIN(P226/$J$7)))))</f>
        <v>21.351176219682266</v>
      </c>
      <c r="N226" s="68">
        <f>+F226-$D$3</f>
        <v>-202.56</v>
      </c>
      <c r="O226" s="69">
        <f>SIN(G226/$J$7)*SIN($D$4/$J$7)+COS(G226/$J$7)*COS($D$4/$J$7)*COS(N226/$J$7)</f>
        <v>-0.47830341907269425</v>
      </c>
      <c r="P226" s="59">
        <f t="shared" si="11"/>
        <v>118.5746541499292</v>
      </c>
      <c r="Q226" s="38"/>
    </row>
    <row r="227" spans="1:17" ht="12" customHeight="1">
      <c r="A227" s="46">
        <f t="shared" si="9"/>
        <v>220</v>
      </c>
      <c r="B227" s="46" t="s">
        <v>479</v>
      </c>
      <c r="C227" s="46" t="s">
        <v>480</v>
      </c>
      <c r="D227" s="61" t="s">
        <v>13</v>
      </c>
      <c r="E227" s="61" t="s">
        <v>14</v>
      </c>
      <c r="F227" s="64">
        <f>-(14+33/60)</f>
        <v>-14.55</v>
      </c>
      <c r="G227" s="64">
        <f>46+4/60</f>
        <v>46.06666666666667</v>
      </c>
      <c r="H227" s="65">
        <f>IF(SIN(J227/$J$7)&gt;0,$J$7*ACOS((SIN(G227/$J$7)-SIN($D$4/$J$7)*K227)/(COS($D$4/$J$7)*SIN(L227/$J$7))),360-($J$7*ACOS((SIN(G227/$J$7)-SIN($D$4/$J$7)*K227)/(COS($D$4/$J$7)*SIN(L227/$J$7)))))</f>
        <v>33.8988209145297</v>
      </c>
      <c r="I227" s="66">
        <f>69.041*$J$7*(ACOS(SIN($D$4/$J$7)*SIN(G227/$J$7)+COS($D$4/$J$7)*COS(G227/$J$7)*COS(J227/$J$7)))</f>
        <v>6003.294558215085</v>
      </c>
      <c r="J227" s="63">
        <f>+$D$3-F227</f>
        <v>126.61</v>
      </c>
      <c r="K227" s="63">
        <f>SIN($D$4/$J$7)*SIN(G227/$J$7)+COS($D$4/$J$7)*COS(G227/$J$7)*COS(J227/$J$7)</f>
        <v>0.053162064886364546</v>
      </c>
      <c r="L227" s="63">
        <f t="shared" si="10"/>
        <v>86.95260147180784</v>
      </c>
      <c r="M227" s="67">
        <f>IF(SIN(N227/$J$7)&gt;0,$J$7*ACOS((SIN($D$4/$J$7)-SIN(G227/$J$7)*O227)/(COS(G227/$J$7)*SIN(P227/$J$7))),360-($J$7*ACOS((SIN($D$4/$J$7)-SIN(G227/$J$7)*O227)/(COS(G227/$J$7)*SIN(P227/$J$7)))))</f>
        <v>317.93819939050337</v>
      </c>
      <c r="N227" s="68">
        <f>+F227-$D$3</f>
        <v>-126.61</v>
      </c>
      <c r="O227" s="69">
        <f>SIN(G227/$J$7)*SIN($D$4/$J$7)+COS(G227/$J$7)*COS($D$4/$J$7)*COS(N227/$J$7)</f>
        <v>0.053162064886364546</v>
      </c>
      <c r="P227" s="59">
        <f t="shared" si="11"/>
        <v>86.95260147180784</v>
      </c>
      <c r="Q227" s="38"/>
    </row>
    <row r="228" spans="1:17" ht="12" customHeight="1">
      <c r="A228" s="46">
        <f t="shared" si="9"/>
        <v>221</v>
      </c>
      <c r="B228" s="46" t="s">
        <v>481</v>
      </c>
      <c r="C228" s="46" t="s">
        <v>482</v>
      </c>
      <c r="D228" s="61" t="s">
        <v>24</v>
      </c>
      <c r="E228" s="61" t="s">
        <v>27</v>
      </c>
      <c r="F228" s="64">
        <f>-56</f>
        <v>-56</v>
      </c>
      <c r="G228" s="64">
        <f>-4</f>
        <v>-4</v>
      </c>
      <c r="H228" s="65">
        <f>IF(SIN(J228/$J$7)&gt;0,$J$7*ACOS((SIN(G228/$J$7)-SIN($D$4/$J$7)*K228)/(COS($D$4/$J$7)*SIN(L228/$J$7))),360-($J$7*ACOS((SIN(G228/$J$7)-SIN($D$4/$J$7)*K228)/(COS($D$4/$J$7)*SIN(L228/$J$7)))))</f>
        <v>23.21178008112949</v>
      </c>
      <c r="I228" s="66">
        <f>69.041*$J$7*(ACOS(SIN($D$4/$J$7)*SIN(G228/$J$7)+COS($D$4/$J$7)*COS(G228/$J$7)*COS(J228/$J$7)))</f>
        <v>10247.283607862842</v>
      </c>
      <c r="J228" s="63">
        <f>+$D$3-F228</f>
        <v>168.06</v>
      </c>
      <c r="K228" s="63">
        <f>SIN($D$4/$J$7)*SIN(G228/$J$7)+COS($D$4/$J$7)*COS(G228/$J$7)*COS(J228/$J$7)</f>
        <v>-0.851938698120591</v>
      </c>
      <c r="L228" s="63">
        <f t="shared" si="10"/>
        <v>148.4231631619305</v>
      </c>
      <c r="M228" s="67">
        <f>IF(SIN(N228/$J$7)&gt;0,$J$7*ACOS((SIN($D$4/$J$7)-SIN(G228/$J$7)*O228)/(COS(G228/$J$7)*SIN(P228/$J$7))),360-($J$7*ACOS((SIN($D$4/$J$7)-SIN(G228/$J$7)*O228)/(COS(G228/$J$7)*SIN(P228/$J$7)))))</f>
        <v>340.7753881777528</v>
      </c>
      <c r="N228" s="68">
        <f>+F228-$D$3</f>
        <v>-168.06</v>
      </c>
      <c r="O228" s="69">
        <f>SIN(G228/$J$7)*SIN($D$4/$J$7)+COS(G228/$J$7)*COS($D$4/$J$7)*COS(N228/$J$7)</f>
        <v>-0.851938698120591</v>
      </c>
      <c r="P228" s="59">
        <f t="shared" si="11"/>
        <v>148.4231631619305</v>
      </c>
      <c r="Q228" s="38"/>
    </row>
    <row r="229" spans="1:17" ht="12" customHeight="1">
      <c r="A229" s="46">
        <f t="shared" si="9"/>
        <v>222</v>
      </c>
      <c r="B229" s="46" t="s">
        <v>483</v>
      </c>
      <c r="C229" s="46" t="s">
        <v>484</v>
      </c>
      <c r="D229" s="61" t="s">
        <v>24</v>
      </c>
      <c r="E229" s="61" t="s">
        <v>32</v>
      </c>
      <c r="F229" s="64">
        <f>-6</f>
        <v>-6</v>
      </c>
      <c r="G229" s="64">
        <v>0.3</v>
      </c>
      <c r="H229" s="65">
        <f>IF(SIN(J229/$J$7)&gt;0,$J$7*ACOS((SIN(G229/$J$7)-SIN($D$4/$J$7)*K229)/(COS($D$4/$J$7)*SIN(L229/$J$7))),360-($J$7*ACOS((SIN(G229/$J$7)-SIN($D$4/$J$7)*K229)/(COS($D$4/$J$7)*SIN(L229/$J$7)))))</f>
        <v>73.32469223272005</v>
      </c>
      <c r="I229" s="66">
        <f>69.041*$J$7*(ACOS(SIN($D$4/$J$7)*SIN(G229/$J$7)+COS($D$4/$J$7)*COS(G229/$J$7)*COS(J229/$J$7)))</f>
        <v>7794.757756009243</v>
      </c>
      <c r="J229" s="63">
        <f>+$D$3-F229</f>
        <v>118.06</v>
      </c>
      <c r="K229" s="63">
        <f>SIN($D$4/$J$7)*SIN(G229/$J$7)+COS($D$4/$J$7)*COS(G229/$J$7)*COS(J229/$J$7)</f>
        <v>-0.3891306698875203</v>
      </c>
      <c r="L229" s="63">
        <f t="shared" si="10"/>
        <v>112.90041795468262</v>
      </c>
      <c r="M229" s="67">
        <f>IF(SIN(N229/$J$7)&gt;0,$J$7*ACOS((SIN($D$4/$J$7)-SIN(G229/$J$7)*O229)/(COS(G229/$J$7)*SIN(P229/$J$7))),360-($J$7*ACOS((SIN($D$4/$J$7)-SIN(G229/$J$7)*O229)/(COS(G229/$J$7)*SIN(P229/$J$7)))))</f>
        <v>307.0255527933204</v>
      </c>
      <c r="N229" s="68">
        <f>+F229-$D$3</f>
        <v>-118.06</v>
      </c>
      <c r="O229" s="69">
        <f>SIN(G229/$J$7)*SIN($D$4/$J$7)+COS(G229/$J$7)*COS($D$4/$J$7)*COS(N229/$J$7)</f>
        <v>-0.3891306698875203</v>
      </c>
      <c r="P229" s="59">
        <f t="shared" si="11"/>
        <v>112.90041795468262</v>
      </c>
      <c r="Q229" s="38"/>
    </row>
    <row r="230" spans="1:17" ht="12" customHeight="1">
      <c r="A230" s="46">
        <f t="shared" si="9"/>
        <v>223</v>
      </c>
      <c r="B230" s="46" t="s">
        <v>485</v>
      </c>
      <c r="C230" s="46" t="s">
        <v>486</v>
      </c>
      <c r="D230" s="61" t="s">
        <v>13</v>
      </c>
      <c r="E230" s="61" t="s">
        <v>21</v>
      </c>
      <c r="F230" s="64">
        <f>-18.1</f>
        <v>-18.1</v>
      </c>
      <c r="G230" s="64">
        <v>59.3</v>
      </c>
      <c r="H230" s="65">
        <f>IF(SIN(J230/$J$7)&gt;0,$J$7*ACOS((SIN(G230/$J$7)-SIN($D$4/$J$7)*K230)/(COS($D$4/$J$7)*SIN(L230/$J$7))),360-($J$7*ACOS((SIN(G230/$J$7)-SIN($D$4/$J$7)*K230)/(COS($D$4/$J$7)*SIN(L230/$J$7)))))</f>
        <v>23.471515761737166</v>
      </c>
      <c r="I230" s="66">
        <f>69.041*$J$7*(ACOS(SIN($D$4/$J$7)*SIN(G230/$J$7)+COS($D$4/$J$7)*COS(G230/$J$7)*COS(J230/$J$7)))</f>
        <v>5413.9286965027795</v>
      </c>
      <c r="J230" s="63">
        <f>+$D$3-F230</f>
        <v>130.16</v>
      </c>
      <c r="K230" s="63">
        <f>SIN($D$4/$J$7)*SIN(G230/$J$7)+COS($D$4/$J$7)*COS(G230/$J$7)*COS(J230/$J$7)</f>
        <v>0.2008019768536024</v>
      </c>
      <c r="L230" s="63">
        <f t="shared" si="10"/>
        <v>78.4161396344604</v>
      </c>
      <c r="M230" s="67">
        <f>IF(SIN(N230/$J$7)&gt;0,$J$7*ACOS((SIN($D$4/$J$7)-SIN(G230/$J$7)*O230)/(COS(G230/$J$7)*SIN(P230/$J$7))),360-($J$7*ACOS((SIN($D$4/$J$7)-SIN(G230/$J$7)*O230)/(COS(G230/$J$7)*SIN(P230/$J$7)))))</f>
        <v>319.4456799190707</v>
      </c>
      <c r="N230" s="68">
        <f>+F230-$D$3</f>
        <v>-130.16</v>
      </c>
      <c r="O230" s="69">
        <f>SIN(G230/$J$7)*SIN($D$4/$J$7)+COS(G230/$J$7)*COS($D$4/$J$7)*COS(N230/$J$7)</f>
        <v>0.2008019768536024</v>
      </c>
      <c r="P230" s="59">
        <f t="shared" si="11"/>
        <v>78.4161396344604</v>
      </c>
      <c r="Q230" s="38"/>
    </row>
    <row r="231" spans="1:17" ht="12" customHeight="1">
      <c r="A231" s="46">
        <f t="shared" si="9"/>
        <v>224</v>
      </c>
      <c r="B231" s="46" t="s">
        <v>487</v>
      </c>
      <c r="C231" s="46" t="s">
        <v>488</v>
      </c>
      <c r="D231" s="61" t="s">
        <v>13</v>
      </c>
      <c r="E231" s="61" t="s">
        <v>14</v>
      </c>
      <c r="F231" s="64">
        <f>-20</f>
        <v>-20</v>
      </c>
      <c r="G231" s="64">
        <v>50</v>
      </c>
      <c r="H231" s="65">
        <f>IF(SIN(J231/$J$7)&gt;0,$J$7*ACOS((SIN(G231/$J$7)-SIN($D$4/$J$7)*K231)/(COS($D$4/$J$7)*SIN(L231/$J$7))),360-($J$7*ACOS((SIN(G231/$J$7)-SIN($D$4/$J$7)*K231)/(COS($D$4/$J$7)*SIN(L231/$J$7)))))</f>
        <v>28.56981578277453</v>
      </c>
      <c r="I231" s="66">
        <f>69.041*$J$7*(ACOS(SIN($D$4/$J$7)*SIN(G231/$J$7)+COS($D$4/$J$7)*COS(G231/$J$7)*COS(J231/$J$7)))</f>
        <v>5958.388277897</v>
      </c>
      <c r="J231" s="63">
        <f>+$D$3-F231</f>
        <v>132.06</v>
      </c>
      <c r="K231" s="63">
        <f>SIN($D$4/$J$7)*SIN(G231/$J$7)+COS($D$4/$J$7)*COS(G231/$J$7)*COS(J231/$J$7)</f>
        <v>0.0644944734125763</v>
      </c>
      <c r="L231" s="63">
        <f t="shared" si="10"/>
        <v>86.30217230192204</v>
      </c>
      <c r="M231" s="67">
        <f>IF(SIN(N231/$J$7)&gt;0,$J$7*ACOS((SIN($D$4/$J$7)-SIN(G231/$J$7)*O231)/(COS(G231/$J$7)*SIN(P231/$J$7))),360-($J$7*ACOS((SIN($D$4/$J$7)-SIN(G231/$J$7)*O231)/(COS(G231/$J$7)*SIN(P231/$J$7)))))</f>
        <v>321.68048153803437</v>
      </c>
      <c r="N231" s="68">
        <f>+F231-$D$3</f>
        <v>-132.06</v>
      </c>
      <c r="O231" s="69">
        <f>SIN(G231/$J$7)*SIN($D$4/$J$7)+COS(G231/$J$7)*COS($D$4/$J$7)*COS(N231/$J$7)</f>
        <v>0.0644944734125763</v>
      </c>
      <c r="P231" s="59">
        <f t="shared" si="11"/>
        <v>86.30217230192204</v>
      </c>
      <c r="Q231" s="38"/>
    </row>
    <row r="232" spans="1:17" ht="12" customHeight="1">
      <c r="A232" s="46">
        <f t="shared" si="9"/>
        <v>225</v>
      </c>
      <c r="B232" s="46" t="s">
        <v>489</v>
      </c>
      <c r="C232" s="46" t="s">
        <v>490</v>
      </c>
      <c r="D232" s="61" t="s">
        <v>24</v>
      </c>
      <c r="E232" s="61" t="s">
        <v>79</v>
      </c>
      <c r="F232" s="64">
        <f>-32.5</f>
        <v>-32.5</v>
      </c>
      <c r="G232" s="64">
        <v>15.5</v>
      </c>
      <c r="H232" s="65">
        <f>IF(SIN(J232/$J$7)&gt;0,$J$7*ACOS((SIN(G232/$J$7)-SIN($D$4/$J$7)*K232)/(COS($D$4/$J$7)*SIN(L232/$J$7))),360-($J$7*ACOS((SIN(G232/$J$7)-SIN($D$4/$J$7)*K232)/(COS($D$4/$J$7)*SIN(L232/$J$7)))))</f>
        <v>40.397080406085166</v>
      </c>
      <c r="I232" s="66">
        <f>69.041*$J$7*(ACOS(SIN($D$4/$J$7)*SIN(G232/$J$7)+COS($D$4/$J$7)*COS(G232/$J$7)*COS(J232/$J$7)))</f>
        <v>8315.159505627389</v>
      </c>
      <c r="J232" s="63">
        <f>+$D$3-F232</f>
        <v>144.56</v>
      </c>
      <c r="K232" s="63">
        <f>SIN($D$4/$J$7)*SIN(G232/$J$7)+COS($D$4/$J$7)*COS(G232/$J$7)*COS(J232/$J$7)</f>
        <v>-0.5066055949164641</v>
      </c>
      <c r="L232" s="63">
        <f t="shared" si="10"/>
        <v>120.43799344776856</v>
      </c>
      <c r="M232" s="67">
        <f>IF(SIN(N232/$J$7)&gt;0,$J$7*ACOS((SIN($D$4/$J$7)-SIN(G232/$J$7)*O232)/(COS(G232/$J$7)*SIN(P232/$J$7))),360-($J$7*ACOS((SIN($D$4/$J$7)-SIN(G232/$J$7)*O232)/(COS(G232/$J$7)*SIN(P232/$J$7)))))</f>
        <v>325.9097310459915</v>
      </c>
      <c r="N232" s="68">
        <f>+F232-$D$3</f>
        <v>-144.56</v>
      </c>
      <c r="O232" s="69">
        <f>SIN(G232/$J$7)*SIN($D$4/$J$7)+COS(G232/$J$7)*COS($D$4/$J$7)*COS(N232/$J$7)</f>
        <v>-0.5066055949164641</v>
      </c>
      <c r="P232" s="59">
        <f t="shared" si="11"/>
        <v>120.43799344776856</v>
      </c>
      <c r="Q232" s="38"/>
    </row>
    <row r="233" spans="1:17" ht="12" customHeight="1">
      <c r="A233" s="46">
        <f t="shared" si="9"/>
        <v>226</v>
      </c>
      <c r="B233" s="46" t="s">
        <v>491</v>
      </c>
      <c r="C233" s="46" t="s">
        <v>492</v>
      </c>
      <c r="D233" s="61" t="s">
        <v>24</v>
      </c>
      <c r="E233" s="61" t="s">
        <v>79</v>
      </c>
      <c r="F233" s="64">
        <f>-31.4</f>
        <v>-31.4</v>
      </c>
      <c r="G233" s="64">
        <v>30</v>
      </c>
      <c r="H233" s="65">
        <f>IF(SIN(J233/$J$7)&gt;0,$J$7*ACOS((SIN(G233/$J$7)-SIN($D$4/$J$7)*K233)/(COS($D$4/$J$7)*SIN(L233/$J$7))),360-($J$7*ACOS((SIN(G233/$J$7)-SIN($D$4/$J$7)*K233)/(COS($D$4/$J$7)*SIN(L233/$J$7)))))</f>
        <v>32.76206875817196</v>
      </c>
      <c r="I233" s="66">
        <f>69.041*$J$7*(ACOS(SIN($D$4/$J$7)*SIN(G233/$J$7)+COS($D$4/$J$7)*COS(G233/$J$7)*COS(J233/$J$7)))</f>
        <v>7433.712991598315</v>
      </c>
      <c r="J233" s="63">
        <f>+$D$3-F233</f>
        <v>143.46</v>
      </c>
      <c r="K233" s="63">
        <f>SIN($D$4/$J$7)*SIN(G233/$J$7)+COS($D$4/$J$7)*COS(G233/$J$7)*COS(J233/$J$7)</f>
        <v>-0.3035507115891343</v>
      </c>
      <c r="L233" s="63">
        <f t="shared" si="10"/>
        <v>107.6709924769096</v>
      </c>
      <c r="M233" s="67">
        <f>IF(SIN(N233/$J$7)&gt;0,$J$7*ACOS((SIN($D$4/$J$7)-SIN(G233/$J$7)*O233)/(COS(G233/$J$7)*SIN(P233/$J$7))),360-($J$7*ACOS((SIN($D$4/$J$7)-SIN(G233/$J$7)*O233)/(COS(G233/$J$7)*SIN(P233/$J$7)))))</f>
        <v>328.61625554667904</v>
      </c>
      <c r="N233" s="68">
        <f>+F233-$D$3</f>
        <v>-143.46</v>
      </c>
      <c r="O233" s="69">
        <f>SIN(G233/$J$7)*SIN($D$4/$J$7)+COS(G233/$J$7)*COS($D$4/$J$7)*COS(N233/$J$7)</f>
        <v>-0.3035507115891343</v>
      </c>
      <c r="P233" s="59">
        <f t="shared" si="11"/>
        <v>107.6709924769096</v>
      </c>
      <c r="Q233" s="38"/>
    </row>
    <row r="234" spans="1:17" ht="12" customHeight="1">
      <c r="A234" s="46">
        <f t="shared" si="9"/>
        <v>227</v>
      </c>
      <c r="B234" s="46" t="s">
        <v>493</v>
      </c>
      <c r="C234" s="46" t="s">
        <v>494</v>
      </c>
      <c r="D234" s="61" t="s">
        <v>13</v>
      </c>
      <c r="E234" s="61" t="s">
        <v>76</v>
      </c>
      <c r="F234" s="64">
        <f>-23.7</f>
        <v>-23.7</v>
      </c>
      <c r="G234" s="64">
        <v>38</v>
      </c>
      <c r="H234" s="65">
        <f>IF(SIN(J234/$J$7)&gt;0,$J$7*ACOS((SIN(G234/$J$7)-SIN($D$4/$J$7)*K234)/(COS($D$4/$J$7)*SIN(L234/$J$7))),360-($J$7*ACOS((SIN(G234/$J$7)-SIN($D$4/$J$7)*K234)/(COS($D$4/$J$7)*SIN(L234/$J$7)))))</f>
        <v>33.675663365037416</v>
      </c>
      <c r="I234" s="66">
        <f>69.041*$J$7*(ACOS(SIN($D$4/$J$7)*SIN(G234/$J$7)+COS($D$4/$J$7)*COS(G234/$J$7)*COS(J234/$J$7)))</f>
        <v>6730.369920626266</v>
      </c>
      <c r="J234" s="63">
        <f>+$D$3-F234</f>
        <v>135.76</v>
      </c>
      <c r="K234" s="63">
        <f>SIN($D$4/$J$7)*SIN(G234/$J$7)+COS($D$4/$J$7)*COS(G234/$J$7)*COS(J234/$J$7)</f>
        <v>-0.13024357792420876</v>
      </c>
      <c r="L234" s="63">
        <f t="shared" si="10"/>
        <v>97.48366797448278</v>
      </c>
      <c r="M234" s="67">
        <f>IF(SIN(N234/$J$7)&gt;0,$J$7*ACOS((SIN($D$4/$J$7)-SIN(G234/$J$7)*O234)/(COS(G234/$J$7)*SIN(P234/$J$7))),360-($J$7*ACOS((SIN($D$4/$J$7)-SIN(G234/$J$7)*O234)/(COS(G234/$J$7)*SIN(P234/$J$7)))))</f>
        <v>324.09576215429047</v>
      </c>
      <c r="N234" s="68">
        <f>+F234-$D$3</f>
        <v>-135.76</v>
      </c>
      <c r="O234" s="69">
        <f>SIN(G234/$J$7)*SIN($D$4/$J$7)+COS(G234/$J$7)*COS($D$4/$J$7)*COS(N234/$J$7)</f>
        <v>-0.13024357792420876</v>
      </c>
      <c r="P234" s="59">
        <f t="shared" si="11"/>
        <v>97.48366797448278</v>
      </c>
      <c r="Q234" s="38"/>
    </row>
    <row r="235" spans="1:17" ht="12" customHeight="1">
      <c r="A235" s="46">
        <f t="shared" si="9"/>
        <v>228</v>
      </c>
      <c r="B235" s="46" t="s">
        <v>499</v>
      </c>
      <c r="C235" s="46" t="s">
        <v>500</v>
      </c>
      <c r="D235" s="61" t="s">
        <v>13</v>
      </c>
      <c r="E235" s="61" t="s">
        <v>76</v>
      </c>
      <c r="F235" s="64">
        <f>-24.3</f>
        <v>-24.3</v>
      </c>
      <c r="G235" s="64">
        <v>40.2</v>
      </c>
      <c r="H235" s="65">
        <f>IF(SIN(J235/$J$7)&gt;0,$J$7*ACOS((SIN(G235/$J$7)-SIN($D$4/$J$7)*K235)/(COS($D$4/$J$7)*SIN(L235/$J$7))),360-($J$7*ACOS((SIN(G235/$J$7)-SIN($D$4/$J$7)*K235)/(COS($D$4/$J$7)*SIN(L235/$J$7)))))</f>
        <v>32.00447754165507</v>
      </c>
      <c r="I235" s="66">
        <f>69.041*$J$7*(ACOS(SIN($D$4/$J$7)*SIN(G235/$J$7)+COS($D$4/$J$7)*COS(G235/$J$7)*COS(J235/$J$7)))</f>
        <v>6625.610880736658</v>
      </c>
      <c r="J235" s="63">
        <f>+$D$3-F235</f>
        <v>136.36</v>
      </c>
      <c r="K235" s="63">
        <f>SIN($D$4/$J$7)*SIN(G235/$J$7)+COS($D$4/$J$7)*COS(G235/$J$7)*COS(J235/$J$7)</f>
        <v>-0.10394388419033879</v>
      </c>
      <c r="L235" s="63">
        <f t="shared" si="10"/>
        <v>95.96632263056239</v>
      </c>
      <c r="M235" s="67">
        <f>IF(SIN(N235/$J$7)&gt;0,$J$7*ACOS((SIN($D$4/$J$7)-SIN(G235/$J$7)*O235)/(COS(G235/$J$7)*SIN(P235/$J$7))),360-($J$7*ACOS((SIN($D$4/$J$7)-SIN(G235/$J$7)*O235)/(COS(G235/$J$7)*SIN(P235/$J$7)))))</f>
        <v>324.6699728537162</v>
      </c>
      <c r="N235" s="68">
        <f>+F235-$D$3</f>
        <v>-136.36</v>
      </c>
      <c r="O235" s="69">
        <f>SIN(G235/$J$7)*SIN($D$4/$J$7)+COS(G235/$J$7)*COS($D$4/$J$7)*COS(N235/$J$7)</f>
        <v>-0.10394388419033879</v>
      </c>
      <c r="P235" s="59">
        <f t="shared" si="11"/>
        <v>95.96632263056239</v>
      </c>
      <c r="Q235" s="38"/>
    </row>
    <row r="236" spans="1:17" ht="12" customHeight="1">
      <c r="A236" s="46">
        <f t="shared" si="9"/>
        <v>229</v>
      </c>
      <c r="B236" s="46" t="s">
        <v>495</v>
      </c>
      <c r="C236" s="46" t="s">
        <v>496</v>
      </c>
      <c r="D236" s="61" t="s">
        <v>13</v>
      </c>
      <c r="E236" s="61" t="s">
        <v>76</v>
      </c>
      <c r="F236" s="64">
        <f>-27.5</f>
        <v>-27.5</v>
      </c>
      <c r="G236" s="64">
        <v>36.5</v>
      </c>
      <c r="H236" s="65">
        <f>IF(SIN(J236/$J$7)&gt;0,$J$7*ACOS((SIN(G236/$J$7)-SIN($D$4/$J$7)*K236)/(COS($D$4/$J$7)*SIN(L236/$J$7))),360-($J$7*ACOS((SIN(G236/$J$7)-SIN($D$4/$J$7)*K236)/(COS($D$4/$J$7)*SIN(L236/$J$7)))))</f>
        <v>32.0185588655083</v>
      </c>
      <c r="I236" s="66">
        <f>69.041*$J$7*(ACOS(SIN($D$4/$J$7)*SIN(G236/$J$7)+COS($D$4/$J$7)*COS(G236/$J$7)*COS(J236/$J$7)))</f>
        <v>6934.222837843317</v>
      </c>
      <c r="J236" s="63">
        <f>+$D$3-F236</f>
        <v>139.56</v>
      </c>
      <c r="K236" s="63">
        <f>SIN($D$4/$J$7)*SIN(G236/$J$7)+COS($D$4/$J$7)*COS(G236/$J$7)*COS(J236/$J$7)</f>
        <v>-0.18114231716900614</v>
      </c>
      <c r="L236" s="63">
        <f t="shared" si="10"/>
        <v>100.43630361442212</v>
      </c>
      <c r="M236" s="67">
        <f>IF(SIN(N236/$J$7)&gt;0,$J$7*ACOS((SIN($D$4/$J$7)-SIN(G236/$J$7)*O236)/(COS(G236/$J$7)*SIN(P236/$J$7))),360-($J$7*ACOS((SIN($D$4/$J$7)-SIN(G236/$J$7)*O236)/(COS(G236/$J$7)*SIN(P236/$J$7)))))</f>
        <v>326.6547991106225</v>
      </c>
      <c r="N236" s="68">
        <f>+F236-$D$3</f>
        <v>-139.56</v>
      </c>
      <c r="O236" s="69">
        <f>SIN(G236/$J$7)*SIN($D$4/$J$7)+COS(G236/$J$7)*COS($D$4/$J$7)*COS(N236/$J$7)</f>
        <v>-0.18114231716900614</v>
      </c>
      <c r="P236" s="59">
        <f t="shared" si="11"/>
        <v>100.43630361442212</v>
      </c>
      <c r="Q236" s="38"/>
    </row>
    <row r="237" spans="1:17" ht="12" customHeight="1">
      <c r="A237" s="46">
        <f t="shared" si="9"/>
        <v>230</v>
      </c>
      <c r="B237" s="46" t="s">
        <v>497</v>
      </c>
      <c r="C237" s="46" t="s">
        <v>498</v>
      </c>
      <c r="D237" s="61" t="s">
        <v>13</v>
      </c>
      <c r="E237" s="61" t="s">
        <v>76</v>
      </c>
      <c r="F237" s="64">
        <f>-25.2</f>
        <v>-25.2</v>
      </c>
      <c r="G237" s="64">
        <v>35.4</v>
      </c>
      <c r="H237" s="65">
        <f>IF(SIN(J237/$J$7)&gt;0,$J$7*ACOS((SIN(G237/$J$7)-SIN($D$4/$J$7)*K237)/(COS($D$4/$J$7)*SIN(L237/$J$7))),360-($J$7*ACOS((SIN(G237/$J$7)-SIN($D$4/$J$7)*K237)/(COS($D$4/$J$7)*SIN(L237/$J$7)))))</f>
        <v>34.21247713762072</v>
      </c>
      <c r="I237" s="66">
        <f>69.041*$J$7*(ACOS(SIN($D$4/$J$7)*SIN(G237/$J$7)+COS($D$4/$J$7)*COS(G237/$J$7)*COS(J237/$J$7)))</f>
        <v>6924.723506376941</v>
      </c>
      <c r="J237" s="63">
        <f>+$D$3-F237</f>
        <v>137.26</v>
      </c>
      <c r="K237" s="63">
        <f>SIN($D$4/$J$7)*SIN(G237/$J$7)+COS($D$4/$J$7)*COS(G237/$J$7)*COS(J237/$J$7)</f>
        <v>-0.17878013012093452</v>
      </c>
      <c r="L237" s="63">
        <f t="shared" si="10"/>
        <v>100.29871390010199</v>
      </c>
      <c r="M237" s="67">
        <f>IF(SIN(N237/$J$7)&gt;0,$J$7*ACOS((SIN($D$4/$J$7)-SIN(G237/$J$7)*O237)/(COS(G237/$J$7)*SIN(P237/$J$7))),360-($J$7*ACOS((SIN($D$4/$J$7)-SIN(G237/$J$7)*O237)/(COS(G237/$J$7)*SIN(P237/$J$7)))))</f>
        <v>324.9094688236175</v>
      </c>
      <c r="N237" s="68">
        <f>+F237-$D$3</f>
        <v>-137.26</v>
      </c>
      <c r="O237" s="69">
        <f>SIN(G237/$J$7)*SIN($D$4/$J$7)+COS(G237/$J$7)*COS($D$4/$J$7)*COS(N237/$J$7)</f>
        <v>-0.17878013012093452</v>
      </c>
      <c r="P237" s="59">
        <f t="shared" si="11"/>
        <v>100.29871390010199</v>
      </c>
      <c r="Q237" s="38"/>
    </row>
    <row r="238" spans="1:17" ht="12" customHeight="1">
      <c r="A238" s="46">
        <f t="shared" si="9"/>
        <v>231</v>
      </c>
      <c r="B238" s="46" t="s">
        <v>501</v>
      </c>
      <c r="C238" s="46" t="s">
        <v>502</v>
      </c>
      <c r="D238" s="61" t="s">
        <v>37</v>
      </c>
      <c r="E238" s="61" t="s">
        <v>177</v>
      </c>
      <c r="F238" s="64">
        <f>-178.6</f>
        <v>-178.6</v>
      </c>
      <c r="G238" s="64">
        <f>-8.7</f>
        <v>-8.7</v>
      </c>
      <c r="H238" s="65">
        <f>IF(SIN(J238/$J$7)&gt;0,$J$7*ACOS((SIN(G238/$J$7)-SIN($D$4/$J$7)*K238)/(COS($D$4/$J$7)*SIN(L238/$J$7))),360-($J$7*ACOS((SIN(G238/$J$7)-SIN($D$4/$J$7)*K238)/(COS($D$4/$J$7)*SIN(L238/$J$7)))))</f>
        <v>250.98157411617404</v>
      </c>
      <c r="I238" s="66">
        <f>69.041*$J$7*(ACOS(SIN($D$4/$J$7)*SIN(G238/$J$7)+COS($D$4/$J$7)*COS(G238/$J$7)*COS(J238/$J$7)))</f>
        <v>5388.629156084573</v>
      </c>
      <c r="J238" s="63">
        <f>+$D$3-F238</f>
        <v>290.65999999999997</v>
      </c>
      <c r="K238" s="63">
        <f>SIN($D$4/$J$7)*SIN(G238/$J$7)+COS($D$4/$J$7)*COS(G238/$J$7)*COS(J238/$J$7)</f>
        <v>0.20706318437976168</v>
      </c>
      <c r="L238" s="63">
        <f t="shared" si="10"/>
        <v>78.04969736945544</v>
      </c>
      <c r="M238" s="67">
        <f>IF(SIN(N238/$J$7)&gt;0,$J$7*ACOS((SIN($D$4/$J$7)-SIN(G238/$J$7)*O238)/(COS(G238/$J$7)*SIN(P238/$J$7))),360-($J$7*ACOS((SIN($D$4/$J$7)-SIN(G238/$J$7)*O238)/(COS(G238/$J$7)*SIN(P238/$J$7)))))</f>
        <v>52.85243079889107</v>
      </c>
      <c r="N238" s="68">
        <f>+F238-$D$3</f>
        <v>-290.65999999999997</v>
      </c>
      <c r="O238" s="69">
        <f>SIN(G238/$J$7)*SIN($D$4/$J$7)+COS(G238/$J$7)*COS($D$4/$J$7)*COS(N238/$J$7)</f>
        <v>0.20706318437976168</v>
      </c>
      <c r="P238" s="59">
        <f t="shared" si="11"/>
        <v>78.04969736945544</v>
      </c>
      <c r="Q238" s="38"/>
    </row>
    <row r="239" spans="1:17" ht="12" customHeight="1">
      <c r="A239" s="46">
        <f t="shared" si="9"/>
        <v>232</v>
      </c>
      <c r="B239" s="46" t="s">
        <v>503</v>
      </c>
      <c r="C239" s="46" t="s">
        <v>504</v>
      </c>
      <c r="D239" s="61" t="s">
        <v>37</v>
      </c>
      <c r="E239" s="61" t="s">
        <v>177</v>
      </c>
      <c r="F239" s="64">
        <f>-175</f>
        <v>-175</v>
      </c>
      <c r="G239" s="64">
        <f>-4</f>
        <v>-4</v>
      </c>
      <c r="H239" s="65">
        <f>IF(SIN(J239/$J$7)&gt;0,$J$7*ACOS((SIN(G239/$J$7)-SIN($D$4/$J$7)*K239)/(COS($D$4/$J$7)*SIN(L239/$J$7))),360-($J$7*ACOS((SIN(G239/$J$7)-SIN($D$4/$J$7)*K239)/(COS($D$4/$J$7)*SIN(L239/$J$7)))))</f>
        <v>257.0168118179177</v>
      </c>
      <c r="I239" s="66">
        <f>69.041*$J$7*(ACOS(SIN($D$4/$J$7)*SIN(G239/$J$7)+COS($D$4/$J$7)*COS(G239/$J$7)*COS(J239/$J$7)))</f>
        <v>5395.552262581481</v>
      </c>
      <c r="J239" s="63">
        <f>+$D$3-F239</f>
        <v>287.06</v>
      </c>
      <c r="K239" s="63">
        <f>SIN($D$4/$J$7)*SIN(G239/$J$7)+COS($D$4/$J$7)*COS(G239/$J$7)*COS(J239/$J$7)</f>
        <v>0.2053506637743311</v>
      </c>
      <c r="L239" s="63">
        <f t="shared" si="10"/>
        <v>78.14997266235252</v>
      </c>
      <c r="M239" s="67">
        <f>IF(SIN(N239/$J$7)&gt;0,$J$7*ACOS((SIN($D$4/$J$7)-SIN(G239/$J$7)*O239)/(COS(G239/$J$7)*SIN(P239/$J$7))),360-($J$7*ACOS((SIN($D$4/$J$7)-SIN(G239/$J$7)*O239)/(COS(G239/$J$7)*SIN(P239/$J$7)))))</f>
        <v>54.49667314305455</v>
      </c>
      <c r="N239" s="68">
        <f>+F239-$D$3</f>
        <v>-287.06</v>
      </c>
      <c r="O239" s="69">
        <f>SIN(G239/$J$7)*SIN($D$4/$J$7)+COS(G239/$J$7)*COS($D$4/$J$7)*COS(N239/$J$7)</f>
        <v>0.2053506637743311</v>
      </c>
      <c r="P239" s="59">
        <f t="shared" si="11"/>
        <v>78.14997266235252</v>
      </c>
      <c r="Q239" s="38"/>
    </row>
    <row r="240" spans="1:17" ht="12" customHeight="1">
      <c r="A240" s="46">
        <f t="shared" si="9"/>
        <v>233</v>
      </c>
      <c r="B240" s="46" t="s">
        <v>505</v>
      </c>
      <c r="C240" s="46" t="s">
        <v>506</v>
      </c>
      <c r="D240" s="61" t="s">
        <v>37</v>
      </c>
      <c r="E240" s="61" t="s">
        <v>177</v>
      </c>
      <c r="F240" s="64">
        <v>171</v>
      </c>
      <c r="G240" s="64">
        <f>-5</f>
        <v>-5</v>
      </c>
      <c r="H240" s="65">
        <f>IF(SIN(J240/$J$7)&gt;0,$J$7*ACOS((SIN(G240/$J$7)-SIN($D$4/$J$7)*K240)/(COS($D$4/$J$7)*SIN(L240/$J$7))),360-($J$7*ACOS((SIN(G240/$J$7)-SIN($D$4/$J$7)*K240)/(COS($D$4/$J$7)*SIN(L240/$J$7)))))</f>
        <v>247.3160815146776</v>
      </c>
      <c r="I240" s="66">
        <f>69.041*$J$7*(ACOS(SIN($D$4/$J$7)*SIN(G240/$J$7)+COS($D$4/$J$7)*COS(G240/$J$7)*COS(J240/$J$7)))</f>
        <v>4670.986970596589</v>
      </c>
      <c r="J240" s="63">
        <f>+$D$3-F240</f>
        <v>-58.94</v>
      </c>
      <c r="K240" s="63">
        <f>SIN($D$4/$J$7)*SIN(G240/$J$7)+COS($D$4/$J$7)*COS(G240/$J$7)*COS(J240/$J$7)</f>
        <v>0.38017846475076494</v>
      </c>
      <c r="L240" s="63">
        <f t="shared" si="10"/>
        <v>67.65526238896584</v>
      </c>
      <c r="M240" s="67">
        <f>IF(SIN(N240/$J$7)&gt;0,$J$7*ACOS((SIN($D$4/$J$7)-SIN(G240/$J$7)*O240)/(COS(G240/$J$7)*SIN(P240/$J$7))),360-($J$7*ACOS((SIN($D$4/$J$7)-SIN(G240/$J$7)*O240)/(COS(G240/$J$7)*SIN(P240/$J$7)))))</f>
        <v>50.52249431982379</v>
      </c>
      <c r="N240" s="68">
        <f>+F240-$D$3</f>
        <v>58.94</v>
      </c>
      <c r="O240" s="69">
        <f>SIN(G240/$J$7)*SIN($D$4/$J$7)+COS(G240/$J$7)*COS($D$4/$J$7)*COS(N240/$J$7)</f>
        <v>0.38017846475076494</v>
      </c>
      <c r="P240" s="59">
        <f t="shared" si="11"/>
        <v>67.65526238896584</v>
      </c>
      <c r="Q240" s="38"/>
    </row>
    <row r="241" spans="1:17" ht="12" customHeight="1">
      <c r="A241" s="46">
        <f t="shared" si="9"/>
        <v>234</v>
      </c>
      <c r="B241" s="46" t="s">
        <v>507</v>
      </c>
      <c r="C241" s="46" t="s">
        <v>508</v>
      </c>
      <c r="D241" s="61" t="s">
        <v>37</v>
      </c>
      <c r="E241" s="61" t="s">
        <v>177</v>
      </c>
      <c r="F241" s="64">
        <v>150</v>
      </c>
      <c r="G241" s="64">
        <f>-10</f>
        <v>-10</v>
      </c>
      <c r="H241" s="65">
        <f>IF(SIN(J241/$J$7)&gt;0,$J$7*ACOS((SIN(G241/$J$7)-SIN($D$4/$J$7)*K241)/(COS($D$4/$J$7)*SIN(L241/$J$7))),360-($J$7*ACOS((SIN(G241/$J$7)-SIN($D$4/$J$7)*K241)/(COS($D$4/$J$7)*SIN(L241/$J$7)))))</f>
        <v>226.53160875182306</v>
      </c>
      <c r="I241" s="66">
        <f>69.041*$J$7*(ACOS(SIN($D$4/$J$7)*SIN(G241/$J$7)+COS($D$4/$J$7)*COS(G241/$J$7)*COS(J241/$J$7)))</f>
        <v>3903.773025043813</v>
      </c>
      <c r="J241" s="63">
        <f>+$D$3-F241</f>
        <v>-37.94</v>
      </c>
      <c r="K241" s="63">
        <f>SIN($D$4/$J$7)*SIN(G241/$J$7)+COS($D$4/$J$7)*COS(G241/$J$7)*COS(J241/$J$7)</f>
        <v>0.5513135867247858</v>
      </c>
      <c r="L241" s="63">
        <f t="shared" si="10"/>
        <v>56.542822743642375</v>
      </c>
      <c r="M241" s="67">
        <f>IF(SIN(N241/$J$7)&gt;0,$J$7*ACOS((SIN($D$4/$J$7)-SIN(G241/$J$7)*O241)/(COS(G241/$J$7)*SIN(P241/$J$7))),360-($J$7*ACOS((SIN($D$4/$J$7)-SIN(G241/$J$7)*O241)/(COS(G241/$J$7)*SIN(P241/$J$7)))))</f>
        <v>37.89213759648323</v>
      </c>
      <c r="N241" s="68">
        <f>+F241-$D$3</f>
        <v>37.94</v>
      </c>
      <c r="O241" s="69">
        <f>SIN(G241/$J$7)*SIN($D$4/$J$7)+COS(G241/$J$7)*COS($D$4/$J$7)*COS(N241/$J$7)</f>
        <v>0.5513135867247858</v>
      </c>
      <c r="P241" s="59">
        <f t="shared" si="11"/>
        <v>56.542822743642375</v>
      </c>
      <c r="Q241" s="38"/>
    </row>
    <row r="242" spans="1:17" ht="12" customHeight="1">
      <c r="A242" s="46">
        <f t="shared" si="9"/>
        <v>235</v>
      </c>
      <c r="B242" s="46" t="s">
        <v>509</v>
      </c>
      <c r="C242" s="46" t="s">
        <v>510</v>
      </c>
      <c r="D242" s="61" t="s">
        <v>37</v>
      </c>
      <c r="E242" s="61" t="s">
        <v>177</v>
      </c>
      <c r="F242" s="64">
        <v>175</v>
      </c>
      <c r="G242" s="64">
        <v>-5</v>
      </c>
      <c r="H242" s="65">
        <f>IF(SIN(J242/$J$7)&gt;0,$J$7*ACOS((SIN(G242/$J$7)-SIN($D$4/$J$7)*K242)/(COS($D$4/$J$7)*SIN(L242/$J$7))),360-($J$7*ACOS((SIN(G242/$J$7)-SIN($D$4/$J$7)*K242)/(COS($D$4/$J$7)*SIN(L242/$J$7)))))</f>
        <v>249.9882574049248</v>
      </c>
      <c r="I242" s="66">
        <f>69.041*$J$7*(ACOS(SIN($D$4/$J$7)*SIN(G242/$J$7)+COS($D$4/$J$7)*COS(G242/$J$7)*COS(J242/$J$7)))</f>
        <v>4885.348003373903</v>
      </c>
      <c r="J242" s="63">
        <f>+$D$3-F242</f>
        <v>-62.94</v>
      </c>
      <c r="K242" s="63">
        <f>SIN($D$4/$J$7)*SIN(G242/$J$7)+COS($D$4/$J$7)*COS(G242/$J$7)*COS(J242/$J$7)</f>
        <v>0.32952423227058414</v>
      </c>
      <c r="L242" s="63">
        <f t="shared" si="10"/>
        <v>70.76009912043429</v>
      </c>
      <c r="M242" s="67">
        <f>IF(SIN(N242/$J$7)&gt;0,$J$7*ACOS((SIN($D$4/$J$7)-SIN(G242/$J$7)*O242)/(COS(G242/$J$7)*SIN(P242/$J$7))),360-($J$7*ACOS((SIN($D$4/$J$7)-SIN(G242/$J$7)*O242)/(COS(G242/$J$7)*SIN(P242/$J$7)))))</f>
        <v>51.82032989533974</v>
      </c>
      <c r="N242" s="68">
        <f>+F242-$D$3</f>
        <v>62.94</v>
      </c>
      <c r="O242" s="69">
        <f>SIN(G242/$J$7)*SIN($D$4/$J$7)+COS(G242/$J$7)*COS($D$4/$J$7)*COS(N242/$J$7)</f>
        <v>0.32952423227058414</v>
      </c>
      <c r="P242" s="59">
        <f t="shared" si="11"/>
        <v>70.76009912043429</v>
      </c>
      <c r="Q242" s="38"/>
    </row>
    <row r="243" spans="1:17" ht="12" customHeight="1">
      <c r="A243" s="46">
        <f t="shared" si="9"/>
        <v>236</v>
      </c>
      <c r="B243" s="46" t="s">
        <v>511</v>
      </c>
      <c r="C243" s="46" t="s">
        <v>512</v>
      </c>
      <c r="D243" s="61" t="s">
        <v>24</v>
      </c>
      <c r="E243" s="61" t="s">
        <v>84</v>
      </c>
      <c r="F243" s="64">
        <f>-46</f>
        <v>-46</v>
      </c>
      <c r="G243" s="64">
        <v>20</v>
      </c>
      <c r="H243" s="65">
        <f>IF(SIN(J243/$J$7)&gt;0,$J$7*ACOS((SIN(G243/$J$7)-SIN($D$4/$J$7)*K243)/(COS($D$4/$J$7)*SIN(L243/$J$7))),360-($J$7*ACOS((SIN(G243/$J$7)-SIN($D$4/$J$7)*K243)/(COS($D$4/$J$7)*SIN(L243/$J$7)))))</f>
        <v>24.603143796147698</v>
      </c>
      <c r="I243" s="66">
        <f>69.041*$J$7*(ACOS(SIN($D$4/$J$7)*SIN(G243/$J$7)+COS($D$4/$J$7)*COS(G243/$J$7)*COS(J243/$J$7)))</f>
        <v>8458.004617283083</v>
      </c>
      <c r="J243" s="63">
        <f>+$D$3-F243</f>
        <v>158.06</v>
      </c>
      <c r="K243" s="63">
        <f>SIN($D$4/$J$7)*SIN(G243/$J$7)+COS($D$4/$J$7)*COS(G243/$J$7)*COS(J243/$J$7)</f>
        <v>-0.5374023946686058</v>
      </c>
      <c r="L243" s="63">
        <f t="shared" si="10"/>
        <v>122.50698305764811</v>
      </c>
      <c r="M243" s="67">
        <f>IF(SIN(N243/$J$7)&gt;0,$J$7*ACOS((SIN($D$4/$J$7)-SIN(G243/$J$7)*O243)/(COS(G243/$J$7)*SIN(P243/$J$7))),360-($J$7*ACOS((SIN($D$4/$J$7)-SIN(G243/$J$7)*O243)/(COS(G243/$J$7)*SIN(P243/$J$7)))))</f>
        <v>338.3312797958229</v>
      </c>
      <c r="N243" s="68">
        <f>+F243-$D$3</f>
        <v>-158.06</v>
      </c>
      <c r="O243" s="69">
        <f>SIN(G243/$J$7)*SIN($D$4/$J$7)+COS(G243/$J$7)*COS($D$4/$J$7)*COS(N243/$J$7)</f>
        <v>-0.5374023946686058</v>
      </c>
      <c r="P243" s="59">
        <f t="shared" si="11"/>
        <v>122.50698305764811</v>
      </c>
      <c r="Q243" s="38"/>
    </row>
    <row r="244" spans="1:17" ht="12" customHeight="1">
      <c r="A244" s="46">
        <f t="shared" si="9"/>
        <v>237</v>
      </c>
      <c r="B244" s="46" t="s">
        <v>513</v>
      </c>
      <c r="C244" s="46" t="s">
        <v>514</v>
      </c>
      <c r="D244" s="61" t="s">
        <v>13</v>
      </c>
      <c r="E244" s="61" t="s">
        <v>14</v>
      </c>
      <c r="F244" s="64">
        <f>-13</f>
        <v>-13</v>
      </c>
      <c r="G244" s="64">
        <v>44</v>
      </c>
      <c r="H244" s="65">
        <f>IF(SIN(J244/$J$7)&gt;0,$J$7*ACOS((SIN(G244/$J$7)-SIN($D$4/$J$7)*K244)/(COS($D$4/$J$7)*SIN(L244/$J$7))),360-($J$7*ACOS((SIN(G244/$J$7)-SIN($D$4/$J$7)*K244)/(COS($D$4/$J$7)*SIN(L244/$J$7)))))</f>
        <v>36.10572478850859</v>
      </c>
      <c r="I244" s="66">
        <f>69.041*$J$7*(ACOS(SIN($D$4/$J$7)*SIN(G244/$J$7)+COS($D$4/$J$7)*COS(G244/$J$7)*COS(J244/$J$7)))</f>
        <v>6057.240367082705</v>
      </c>
      <c r="J244" s="63">
        <f>+$D$3-F244</f>
        <v>125.06</v>
      </c>
      <c r="K244" s="63">
        <f>SIN($D$4/$J$7)*SIN(G244/$J$7)+COS($D$4/$J$7)*COS(G244/$J$7)*COS(J244/$J$7)</f>
        <v>0.039539540426163255</v>
      </c>
      <c r="L244" s="63">
        <f t="shared" si="10"/>
        <v>87.73396050292878</v>
      </c>
      <c r="M244" s="67">
        <f>IF(SIN(N244/$J$7)&gt;0,$J$7*ACOS((SIN($D$4/$J$7)-SIN(G244/$J$7)*O244)/(COS(G244/$J$7)*SIN(P244/$J$7))),360-($J$7*ACOS((SIN($D$4/$J$7)-SIN(G244/$J$7)*O244)/(COS(G244/$J$7)*SIN(P244/$J$7)))))</f>
        <v>316.9436438014541</v>
      </c>
      <c r="N244" s="68">
        <f>+F244-$D$3</f>
        <v>-125.06</v>
      </c>
      <c r="O244" s="69">
        <f>SIN(G244/$J$7)*SIN($D$4/$J$7)+COS(G244/$J$7)*COS($D$4/$J$7)*COS(N244/$J$7)</f>
        <v>0.039539540426163255</v>
      </c>
      <c r="P244" s="59">
        <f t="shared" si="11"/>
        <v>87.73396050292878</v>
      </c>
      <c r="Q244" s="38"/>
    </row>
    <row r="245" spans="1:17" ht="12" customHeight="1">
      <c r="A245" s="46">
        <f t="shared" si="9"/>
        <v>238</v>
      </c>
      <c r="B245" s="46" t="s">
        <v>515</v>
      </c>
      <c r="C245" s="46" t="s">
        <v>516</v>
      </c>
      <c r="D245" s="61" t="s">
        <v>37</v>
      </c>
      <c r="E245" s="61" t="s">
        <v>227</v>
      </c>
      <c r="F245" s="64">
        <f>-138.2</f>
        <v>-138.2</v>
      </c>
      <c r="G245" s="64">
        <v>9.5</v>
      </c>
      <c r="H245" s="65">
        <f>IF(SIN(J245/$J$7)&gt;0,$J$7*ACOS((SIN(G245/$J$7)-SIN($D$4/$J$7)*K245)/(COS($D$4/$J$7)*SIN(L245/$J$7))),360-($J$7*ACOS((SIN(G245/$J$7)-SIN($D$4/$J$7)*K245)/(COS($D$4/$J$7)*SIN(L245/$J$7)))))</f>
        <v>289.11064858015976</v>
      </c>
      <c r="I245" s="66">
        <f>69.041*$J$7*(ACOS(SIN($D$4/$J$7)*SIN(G245/$J$7)+COS($D$4/$J$7)*COS(G245/$J$7)*COS(J245/$J$7)))</f>
        <v>6955.412956635266</v>
      </c>
      <c r="J245" s="63">
        <f>+$D$3-F245</f>
        <v>250.26</v>
      </c>
      <c r="K245" s="63">
        <f>SIN($D$4/$J$7)*SIN(G245/$J$7)+COS($D$4/$J$7)*COS(G245/$J$7)*COS(J245/$J$7)</f>
        <v>-0.18640785373837077</v>
      </c>
      <c r="L245" s="63">
        <f t="shared" si="10"/>
        <v>100.74322441209232</v>
      </c>
      <c r="M245" s="67">
        <f>IF(SIN(N245/$J$7)&gt;0,$J$7*ACOS((SIN($D$4/$J$7)-SIN(G245/$J$7)*O245)/(COS(G245/$J$7)*SIN(P245/$J$7))),360-($J$7*ACOS((SIN($D$4/$J$7)-SIN(G245/$J$7)*O245)/(COS(G245/$J$7)*SIN(P245/$J$7)))))</f>
        <v>52.97979731780091</v>
      </c>
      <c r="N245" s="68">
        <f>+F245-$D$3</f>
        <v>-250.26</v>
      </c>
      <c r="O245" s="69">
        <f>SIN(G245/$J$7)*SIN($D$4/$J$7)+COS(G245/$J$7)*COS($D$4/$J$7)*COS(N245/$J$7)</f>
        <v>-0.18640785373837077</v>
      </c>
      <c r="P245" s="59">
        <f t="shared" si="11"/>
        <v>100.74322441209232</v>
      </c>
      <c r="Q245" s="38"/>
    </row>
    <row r="246" spans="1:17" ht="12" customHeight="1">
      <c r="A246" s="46">
        <f t="shared" si="9"/>
        <v>239</v>
      </c>
      <c r="B246" s="46" t="s">
        <v>517</v>
      </c>
      <c r="C246" s="46" t="s">
        <v>518</v>
      </c>
      <c r="D246" s="61" t="s">
        <v>13</v>
      </c>
      <c r="E246" s="61" t="s">
        <v>474</v>
      </c>
      <c r="F246" s="64">
        <f>-(18+26/60)</f>
        <v>-18.433333333333334</v>
      </c>
      <c r="G246" s="64">
        <f>43+52/60</f>
        <v>43.86666666666667</v>
      </c>
      <c r="H246" s="65">
        <f>IF(SIN(J246/$J$7)&gt;0,$J$7*ACOS((SIN(G246/$J$7)-SIN($D$4/$J$7)*K246)/(COS($D$4/$J$7)*SIN(L246/$J$7))),360-($J$7*ACOS((SIN(G246/$J$7)-SIN($D$4/$J$7)*K246)/(COS($D$4/$J$7)*SIN(L246/$J$7)))))</f>
        <v>33.24954755015555</v>
      </c>
      <c r="I246" s="66">
        <f>69.041*$J$7*(ACOS(SIN($D$4/$J$7)*SIN(G246/$J$7)+COS($D$4/$J$7)*COS(G246/$J$7)*COS(J246/$J$7)))</f>
        <v>6242.086213277299</v>
      </c>
      <c r="J246" s="63">
        <f>+$D$3-F246</f>
        <v>130.49333333333334</v>
      </c>
      <c r="K246" s="63">
        <f>SIN($D$4/$J$7)*SIN(G246/$J$7)+COS($D$4/$J$7)*COS(G246/$J$7)*COS(J246/$J$7)</f>
        <v>-0.007178389078138003</v>
      </c>
      <c r="L246" s="63">
        <f t="shared" si="10"/>
        <v>90.41129493021971</v>
      </c>
      <c r="M246" s="67">
        <f>IF(SIN(N246/$J$7)&gt;0,$J$7*ACOS((SIN($D$4/$J$7)-SIN(G246/$J$7)*O246)/(COS(G246/$J$7)*SIN(P246/$J$7))),360-($J$7*ACOS((SIN($D$4/$J$7)-SIN(G246/$J$7)*O246)/(COS(G246/$J$7)*SIN(P246/$J$7)))))</f>
        <v>320.6686226803227</v>
      </c>
      <c r="N246" s="68">
        <f>+F246-$D$3</f>
        <v>-130.49333333333334</v>
      </c>
      <c r="O246" s="69">
        <f>SIN(G246/$J$7)*SIN($D$4/$J$7)+COS(G246/$J$7)*COS($D$4/$J$7)*COS(N246/$J$7)</f>
        <v>-0.007178389078138003</v>
      </c>
      <c r="P246" s="59">
        <f t="shared" si="11"/>
        <v>90.41129493021971</v>
      </c>
      <c r="Q246" s="38"/>
    </row>
    <row r="247" spans="1:17" ht="12" customHeight="1">
      <c r="A247" s="46">
        <f t="shared" si="9"/>
        <v>240</v>
      </c>
      <c r="B247" s="46" t="s">
        <v>519</v>
      </c>
      <c r="C247" s="46" t="s">
        <v>520</v>
      </c>
      <c r="D247" s="61" t="s">
        <v>13</v>
      </c>
      <c r="E247" s="61" t="s">
        <v>76</v>
      </c>
      <c r="F247" s="64">
        <f>-32.9</f>
        <v>-32.9</v>
      </c>
      <c r="G247" s="64">
        <v>39.9</v>
      </c>
      <c r="H247" s="65">
        <f>IF(SIN(J247/$J$7)&gt;0,$J$7*ACOS((SIN(G247/$J$7)-SIN($D$4/$J$7)*K247)/(COS($D$4/$J$7)*SIN(L247/$J$7))),360-($J$7*ACOS((SIN(G247/$J$7)-SIN($D$4/$J$7)*K247)/(COS($D$4/$J$7)*SIN(L247/$J$7)))))</f>
        <v>26.54446367343602</v>
      </c>
      <c r="I247" s="66">
        <f>69.041*$J$7*(ACOS(SIN($D$4/$J$7)*SIN(G247/$J$7)+COS($D$4/$J$7)*COS(G247/$J$7)*COS(J247/$J$7)))</f>
        <v>6885.313200668825</v>
      </c>
      <c r="J247" s="63">
        <f>+$D$3-F247</f>
        <v>144.96</v>
      </c>
      <c r="K247" s="63">
        <f>SIN($D$4/$J$7)*SIN(G247/$J$7)+COS($D$4/$J$7)*COS(G247/$J$7)*COS(J247/$J$7)</f>
        <v>-0.1689691595962558</v>
      </c>
      <c r="L247" s="63">
        <f t="shared" si="10"/>
        <v>99.72788923493033</v>
      </c>
      <c r="M247" s="67">
        <f>IF(SIN(N247/$J$7)&gt;0,$J$7*ACOS((SIN($D$4/$J$7)-SIN(G247/$J$7)*O247)/(COS(G247/$J$7)*SIN(P247/$J$7))),360-($J$7*ACOS((SIN($D$4/$J$7)-SIN(G247/$J$7)*O247)/(COS(G247/$J$7)*SIN(P247/$J$7)))))</f>
        <v>330.9562175213601</v>
      </c>
      <c r="N247" s="68">
        <f>+F247-$D$3</f>
        <v>-144.96</v>
      </c>
      <c r="O247" s="69">
        <f>SIN(G247/$J$7)*SIN($D$4/$J$7)+COS(G247/$J$7)*COS($D$4/$J$7)*COS(N247/$J$7)</f>
        <v>-0.1689691595962558</v>
      </c>
      <c r="P247" s="59">
        <f t="shared" si="11"/>
        <v>99.72788923493033</v>
      </c>
      <c r="Q247" s="38"/>
    </row>
    <row r="248" spans="1:17" ht="12" customHeight="1">
      <c r="A248" s="46">
        <f t="shared" si="9"/>
        <v>241</v>
      </c>
      <c r="B248" s="46" t="s">
        <v>521</v>
      </c>
      <c r="C248" s="46" t="s">
        <v>522</v>
      </c>
      <c r="D248" s="61" t="s">
        <v>13</v>
      </c>
      <c r="E248" s="61" t="s">
        <v>373</v>
      </c>
      <c r="F248" s="64">
        <v>22</v>
      </c>
      <c r="G248" s="64">
        <v>64.1</v>
      </c>
      <c r="H248" s="65">
        <f>IF(SIN(J248/$J$7)&gt;0,$J$7*ACOS((SIN(G248/$J$7)-SIN($D$4/$J$7)*K248)/(COS($D$4/$J$7)*SIN(L248/$J$7))),360-($J$7*ACOS((SIN(G248/$J$7)-SIN($D$4/$J$7)*K248)/(COS($D$4/$J$7)*SIN(L248/$J$7)))))</f>
        <v>30.21834728417682</v>
      </c>
      <c r="I248" s="66">
        <f>69.041*$J$7*(ACOS(SIN($D$4/$J$7)*SIN(G248/$J$7)+COS($D$4/$J$7)*COS(G248/$J$7)*COS(J248/$J$7)))</f>
        <v>4157.186891373535</v>
      </c>
      <c r="J248" s="63">
        <f>+$D$3-F248</f>
        <v>90.06</v>
      </c>
      <c r="K248" s="63">
        <f>SIN($D$4/$J$7)*SIN(G248/$J$7)+COS($D$4/$J$7)*COS(G248/$J$7)*COS(J248/$J$7)</f>
        <v>0.49677241642767966</v>
      </c>
      <c r="L248" s="63">
        <f t="shared" si="10"/>
        <v>60.2133064609947</v>
      </c>
      <c r="M248" s="67">
        <f>IF(SIN(N248/$J$7)&gt;0,$J$7*ACOS((SIN($D$4/$J$7)-SIN(G248/$J$7)*O248)/(COS(G248/$J$7)*SIN(P248/$J$7))),360-($J$7*ACOS((SIN($D$4/$J$7)-SIN(G248/$J$7)*O248)/(COS(G248/$J$7)*SIN(P248/$J$7)))))</f>
        <v>286.20404743326026</v>
      </c>
      <c r="N248" s="68">
        <f>+F248-$D$3</f>
        <v>-90.06</v>
      </c>
      <c r="O248" s="69">
        <f>SIN(G248/$J$7)*SIN($D$4/$J$7)+COS(G248/$J$7)*COS($D$4/$J$7)*COS(N248/$J$7)</f>
        <v>0.49677241642767966</v>
      </c>
      <c r="P248" s="59">
        <f t="shared" si="11"/>
        <v>60.2133064609947</v>
      </c>
      <c r="Q248" s="38"/>
    </row>
    <row r="249" spans="1:17" ht="12" customHeight="1">
      <c r="A249" s="46">
        <f t="shared" si="9"/>
        <v>242</v>
      </c>
      <c r="B249" s="46" t="s">
        <v>523</v>
      </c>
      <c r="C249" s="46" t="s">
        <v>524</v>
      </c>
      <c r="D249" s="61" t="s">
        <v>70</v>
      </c>
      <c r="E249" s="61" t="s">
        <v>275</v>
      </c>
      <c r="F249" s="64">
        <v>90.5</v>
      </c>
      <c r="G249" s="64">
        <v>14.6</v>
      </c>
      <c r="H249" s="65">
        <f>IF(SIN(J249/$J$7)&gt;0,$J$7*ACOS((SIN(G249/$J$7)-SIN($D$4/$J$7)*K249)/(COS($D$4/$J$7)*SIN(L249/$J$7))),360-($J$7*ACOS((SIN(G249/$J$7)-SIN($D$4/$J$7)*K249)/(COS($D$4/$J$7)*SIN(L249/$J$7)))))</f>
        <v>128.93734474068503</v>
      </c>
      <c r="I249" s="66">
        <f>69.041*$J$7*(ACOS(SIN($D$4/$J$7)*SIN(G249/$J$7)+COS($D$4/$J$7)*COS(G249/$J$7)*COS(J249/$J$7)))</f>
        <v>1878.2760543571414</v>
      </c>
      <c r="J249" s="63">
        <f>+$D$3-F249</f>
        <v>21.560000000000002</v>
      </c>
      <c r="K249" s="63">
        <f>SIN($D$4/$J$7)*SIN(G249/$J$7)+COS($D$4/$J$7)*COS(G249/$J$7)*COS(J249/$J$7)</f>
        <v>0.889374671948361</v>
      </c>
      <c r="L249" s="63">
        <f t="shared" si="10"/>
        <v>27.20522666759087</v>
      </c>
      <c r="M249" s="67">
        <f>IF(SIN(N249/$J$7)&gt;0,$J$7*ACOS((SIN($D$4/$J$7)-SIN(G249/$J$7)*O249)/(COS(G249/$J$7)*SIN(P249/$J$7))),360-($J$7*ACOS((SIN($D$4/$J$7)-SIN(G249/$J$7)*O249)/(COS(G249/$J$7)*SIN(P249/$J$7)))))</f>
        <v>317.9421509782409</v>
      </c>
      <c r="N249" s="68">
        <f>+F249-$D$3</f>
        <v>-21.560000000000002</v>
      </c>
      <c r="O249" s="69">
        <f>SIN(G249/$J$7)*SIN($D$4/$J$7)+COS(G249/$J$7)*COS($D$4/$J$7)*COS(N249/$J$7)</f>
        <v>0.889374671948361</v>
      </c>
      <c r="P249" s="59">
        <f t="shared" si="11"/>
        <v>27.20522666759087</v>
      </c>
      <c r="Q249" s="38"/>
    </row>
    <row r="250" spans="1:17" ht="12" customHeight="1">
      <c r="A250" s="46">
        <f t="shared" si="9"/>
        <v>243</v>
      </c>
      <c r="B250" s="46" t="s">
        <v>525</v>
      </c>
      <c r="C250" s="46" t="s">
        <v>526</v>
      </c>
      <c r="D250" s="61" t="s">
        <v>70</v>
      </c>
      <c r="E250" s="61" t="s">
        <v>275</v>
      </c>
      <c r="F250" s="64">
        <v>84</v>
      </c>
      <c r="G250" s="64">
        <v>10</v>
      </c>
      <c r="H250" s="65">
        <f>IF(SIN(J250/$J$7)&gt;0,$J$7*ACOS((SIN(G250/$J$7)-SIN($D$4/$J$7)*K250)/(COS($D$4/$J$7)*SIN(L250/$J$7))),360-($J$7*ACOS((SIN(G250/$J$7)-SIN($D$4/$J$7)*K250)/(COS($D$4/$J$7)*SIN(L250/$J$7)))))</f>
        <v>125.91920490137512</v>
      </c>
      <c r="I250" s="66">
        <f>69.041*$J$7*(ACOS(SIN($D$4/$J$7)*SIN(G250/$J$7)+COS($D$4/$J$7)*COS(G250/$J$7)*COS(J250/$J$7)))</f>
        <v>2408.9356667763345</v>
      </c>
      <c r="J250" s="63">
        <f>+$D$3-F250</f>
        <v>28.060000000000002</v>
      </c>
      <c r="K250" s="63">
        <f>SIN($D$4/$J$7)*SIN(G250/$J$7)+COS($D$4/$J$7)*COS(G250/$J$7)*COS(J250/$J$7)</f>
        <v>0.8202379588722389</v>
      </c>
      <c r="L250" s="63">
        <f t="shared" si="10"/>
        <v>34.89137855442903</v>
      </c>
      <c r="M250" s="67">
        <f>IF(SIN(N250/$J$7)&gt;0,$J$7*ACOS((SIN($D$4/$J$7)-SIN(G250/$J$7)*O250)/(COS(G250/$J$7)*SIN(P250/$J$7))),360-($J$7*ACOS((SIN($D$4/$J$7)-SIN(G250/$J$7)*O250)/(COS(G250/$J$7)*SIN(P250/$J$7)))))</f>
        <v>316.73766103665025</v>
      </c>
      <c r="N250" s="68">
        <f>+F250-$D$3</f>
        <v>-28.060000000000002</v>
      </c>
      <c r="O250" s="69">
        <f>SIN(G250/$J$7)*SIN($D$4/$J$7)+COS(G250/$J$7)*COS($D$4/$J$7)*COS(N250/$J$7)</f>
        <v>0.8202379588722389</v>
      </c>
      <c r="P250" s="59">
        <f t="shared" si="11"/>
        <v>34.89137855442903</v>
      </c>
      <c r="Q250" s="38"/>
    </row>
    <row r="251" spans="1:17" ht="12" customHeight="1">
      <c r="A251" s="46">
        <f t="shared" si="9"/>
        <v>244</v>
      </c>
      <c r="B251" s="46" t="s">
        <v>527</v>
      </c>
      <c r="C251" s="46" t="s">
        <v>528</v>
      </c>
      <c r="D251" s="61" t="s">
        <v>70</v>
      </c>
      <c r="E251" s="61" t="s">
        <v>275</v>
      </c>
      <c r="F251" s="64">
        <v>87</v>
      </c>
      <c r="G251" s="64">
        <v>5</v>
      </c>
      <c r="H251" s="65">
        <f>IF(SIN(J251/$J$7)&gt;0,$J$7*ACOS((SIN(G251/$J$7)-SIN($D$4/$J$7)*K251)/(COS($D$4/$J$7)*SIN(L251/$J$7))),360-($J$7*ACOS((SIN(G251/$J$7)-SIN($D$4/$J$7)*K251)/(COS($D$4/$J$7)*SIN(L251/$J$7)))))</f>
        <v>135.2799002479422</v>
      </c>
      <c r="I251" s="66">
        <f>69.041*$J$7*(ACOS(SIN($D$4/$J$7)*SIN(G251/$J$7)+COS($D$4/$J$7)*COS(G251/$J$7)*COS(J251/$J$7)))</f>
        <v>2543.910883756524</v>
      </c>
      <c r="J251" s="63">
        <f>+$D$3-F251</f>
        <v>25.060000000000002</v>
      </c>
      <c r="K251" s="63">
        <f>SIN($D$4/$J$7)*SIN(G251/$J$7)+COS($D$4/$J$7)*COS(G251/$J$7)*COS(J251/$J$7)</f>
        <v>0.8002462145472186</v>
      </c>
      <c r="L251" s="63">
        <f t="shared" si="10"/>
        <v>36.84637945215921</v>
      </c>
      <c r="M251" s="67">
        <f>IF(SIN(N251/$J$7)&gt;0,$J$7*ACOS((SIN($D$4/$J$7)-SIN(G251/$J$7)*O251)/(COS(G251/$J$7)*SIN(P251/$J$7))),360-($J$7*ACOS((SIN($D$4/$J$7)-SIN(G251/$J$7)*O251)/(COS(G251/$J$7)*SIN(P251/$J$7)))))</f>
        <v>323.93804908034474</v>
      </c>
      <c r="N251" s="68">
        <f>+F251-$D$3</f>
        <v>-25.060000000000002</v>
      </c>
      <c r="O251" s="69">
        <f>SIN(G251/$J$7)*SIN($D$4/$J$7)+COS(G251/$J$7)*COS($D$4/$J$7)*COS(N251/$J$7)</f>
        <v>0.8002462145472186</v>
      </c>
      <c r="P251" s="59">
        <f t="shared" si="11"/>
        <v>36.84637945215921</v>
      </c>
      <c r="Q251" s="38"/>
    </row>
    <row r="252" spans="1:17" ht="12" customHeight="1">
      <c r="A252" s="46">
        <f t="shared" si="9"/>
        <v>245</v>
      </c>
      <c r="B252" s="46" t="s">
        <v>529</v>
      </c>
      <c r="C252" s="46" t="s">
        <v>530</v>
      </c>
      <c r="D252" s="61" t="s">
        <v>24</v>
      </c>
      <c r="E252" s="61" t="s">
        <v>45</v>
      </c>
      <c r="F252" s="64">
        <f>-12</f>
        <v>-12</v>
      </c>
      <c r="G252" s="64">
        <v>4</v>
      </c>
      <c r="H252" s="65">
        <f>IF(SIN(J252/$J$7)&gt;0,$J$7*ACOS((SIN(G252/$J$7)-SIN($D$4/$J$7)*K252)/(COS($D$4/$J$7)*SIN(L252/$J$7))),360-($J$7*ACOS((SIN(G252/$J$7)-SIN($D$4/$J$7)*K252)/(COS($D$4/$J$7)*SIN(L252/$J$7)))))</f>
        <v>66.06048422183841</v>
      </c>
      <c r="I252" s="66">
        <f>69.041*$J$7*(ACOS(SIN($D$4/$J$7)*SIN(G252/$J$7)+COS($D$4/$J$7)*COS(G252/$J$7)*COS(J252/$J$7)))</f>
        <v>7959.158565443672</v>
      </c>
      <c r="J252" s="63">
        <f>+$D$3-F252</f>
        <v>124.06</v>
      </c>
      <c r="K252" s="63">
        <f>SIN($D$4/$J$7)*SIN(G252/$J$7)+COS($D$4/$J$7)*COS(G252/$J$7)*COS(J252/$J$7)</f>
        <v>-0.4270678740276849</v>
      </c>
      <c r="L252" s="63">
        <f t="shared" si="10"/>
        <v>115.28162346205403</v>
      </c>
      <c r="M252" s="67">
        <f>IF(SIN(N252/$J$7)&gt;0,$J$7*ACOS((SIN($D$4/$J$7)-SIN(G252/$J$7)*O252)/(COS(G252/$J$7)*SIN(P252/$J$7))),360-($J$7*ACOS((SIN($D$4/$J$7)-SIN(G252/$J$7)*O252)/(COS(G252/$J$7)*SIN(P252/$J$7)))))</f>
        <v>310.2200835660112</v>
      </c>
      <c r="N252" s="68">
        <f>+F252-$D$3</f>
        <v>-124.06</v>
      </c>
      <c r="O252" s="69">
        <f>SIN(G252/$J$7)*SIN($D$4/$J$7)+COS(G252/$J$7)*COS($D$4/$J$7)*COS(N252/$J$7)</f>
        <v>-0.4270678740276849</v>
      </c>
      <c r="P252" s="59">
        <f t="shared" si="11"/>
        <v>115.28162346205403</v>
      </c>
      <c r="Q252" s="38"/>
    </row>
    <row r="253" spans="1:17" ht="12" customHeight="1">
      <c r="A253" s="46">
        <f t="shared" si="9"/>
        <v>246</v>
      </c>
      <c r="B253" s="46" t="s">
        <v>531</v>
      </c>
      <c r="C253" s="46" t="s">
        <v>532</v>
      </c>
      <c r="D253" s="61" t="s">
        <v>13</v>
      </c>
      <c r="E253" s="61" t="s">
        <v>14</v>
      </c>
      <c r="F253" s="64">
        <f>-9</f>
        <v>-9</v>
      </c>
      <c r="G253" s="64">
        <v>42</v>
      </c>
      <c r="H253" s="65">
        <f>IF(SIN(J253/$J$7)&gt;0,$J$7*ACOS((SIN(G253/$J$7)-SIN($D$4/$J$7)*K253)/(COS($D$4/$J$7)*SIN(L253/$J$7))),360-($J$7*ACOS((SIN(G253/$J$7)-SIN($D$4/$J$7)*K253)/(COS($D$4/$J$7)*SIN(L253/$J$7)))))</f>
        <v>39.598515605006924</v>
      </c>
      <c r="I253" s="66">
        <f>69.041*$J$7*(ACOS(SIN($D$4/$J$7)*SIN(G253/$J$7)+COS($D$4/$J$7)*COS(G253/$J$7)*COS(J253/$J$7)))</f>
        <v>6014.768413403867</v>
      </c>
      <c r="J253" s="63">
        <f>+$D$3-F253</f>
        <v>121.06</v>
      </c>
      <c r="K253" s="63">
        <f>SIN($D$4/$J$7)*SIN(G253/$J$7)+COS($D$4/$J$7)*COS(G253/$J$7)*COS(J253/$J$7)</f>
        <v>0.050265401643727725</v>
      </c>
      <c r="L253" s="63">
        <f t="shared" si="10"/>
        <v>87.11879047817771</v>
      </c>
      <c r="M253" s="67">
        <f>IF(SIN(N253/$J$7)&gt;0,$J$7*ACOS((SIN($D$4/$J$7)-SIN(G253/$J$7)*O253)/(COS(G253/$J$7)*SIN(P253/$J$7))),360-($J$7*ACOS((SIN($D$4/$J$7)-SIN(G253/$J$7)*O253)/(COS(G253/$J$7)*SIN(P253/$J$7)))))</f>
        <v>314.3715300989179</v>
      </c>
      <c r="N253" s="68">
        <f>+F253-$D$3</f>
        <v>-121.06</v>
      </c>
      <c r="O253" s="69">
        <f>SIN(G253/$J$7)*SIN($D$4/$J$7)+COS(G253/$J$7)*COS($D$4/$J$7)*COS(N253/$J$7)</f>
        <v>0.050265401643727725</v>
      </c>
      <c r="P253" s="59">
        <f t="shared" si="11"/>
        <v>87.11879047817771</v>
      </c>
      <c r="Q253" s="38"/>
    </row>
    <row r="254" spans="1:17" ht="12" customHeight="1">
      <c r="A254" s="46">
        <f t="shared" si="9"/>
        <v>247</v>
      </c>
      <c r="B254" s="46" t="s">
        <v>533</v>
      </c>
      <c r="C254" s="46" t="s">
        <v>534</v>
      </c>
      <c r="D254" s="61" t="s">
        <v>24</v>
      </c>
      <c r="E254" s="61" t="s">
        <v>32</v>
      </c>
      <c r="F254" s="64">
        <f>-18</f>
        <v>-18</v>
      </c>
      <c r="G254" s="64">
        <v>4.5</v>
      </c>
      <c r="H254" s="65">
        <f>IF(SIN(J254/$J$7)&gt;0,$J$7*ACOS((SIN(G254/$J$7)-SIN($D$4/$J$7)*K254)/(COS($D$4/$J$7)*SIN(L254/$J$7))),360-($J$7*ACOS((SIN(G254/$J$7)-SIN($D$4/$J$7)*K254)/(COS($D$4/$J$7)*SIN(L254/$J$7)))))</f>
        <v>61.170510796431856</v>
      </c>
      <c r="I254" s="66">
        <f>69.041*$J$7*(ACOS(SIN($D$4/$J$7)*SIN(G254/$J$7)+COS($D$4/$J$7)*COS(G254/$J$7)*COS(J254/$J$7)))</f>
        <v>8245.544252259551</v>
      </c>
      <c r="J254" s="63">
        <f>+$D$3-F254</f>
        <v>130.06</v>
      </c>
      <c r="K254" s="63">
        <f>SIN($D$4/$J$7)*SIN(G254/$J$7)+COS($D$4/$J$7)*COS(G254/$J$7)*COS(J254/$J$7)</f>
        <v>-0.4913549257734494</v>
      </c>
      <c r="L254" s="63">
        <f t="shared" si="10"/>
        <v>119.42967587751556</v>
      </c>
      <c r="M254" s="67">
        <f>IF(SIN(N254/$J$7)&gt;0,$J$7*ACOS((SIN($D$4/$J$7)-SIN(G254/$J$7)*O254)/(COS(G254/$J$7)*SIN(P254/$J$7))),360-($J$7*ACOS((SIN($D$4/$J$7)-SIN(G254/$J$7)*O254)/(COS(G254/$J$7)*SIN(P254/$J$7)))))</f>
        <v>312.9146966085346</v>
      </c>
      <c r="N254" s="68">
        <f>+F254-$D$3</f>
        <v>-130.06</v>
      </c>
      <c r="O254" s="69">
        <f>SIN(G254/$J$7)*SIN($D$4/$J$7)+COS(G254/$J$7)*COS($D$4/$J$7)*COS(N254/$J$7)</f>
        <v>-0.4913549257734494</v>
      </c>
      <c r="P254" s="59">
        <f t="shared" si="11"/>
        <v>119.42967587751556</v>
      </c>
      <c r="Q254" s="38"/>
    </row>
    <row r="255" spans="1:17" ht="12" customHeight="1">
      <c r="A255" s="46">
        <f t="shared" si="9"/>
        <v>248</v>
      </c>
      <c r="B255" s="46" t="s">
        <v>535</v>
      </c>
      <c r="C255" s="46" t="s">
        <v>536</v>
      </c>
      <c r="D255" s="61" t="s">
        <v>24</v>
      </c>
      <c r="E255" s="61" t="s">
        <v>32</v>
      </c>
      <c r="F255" s="64">
        <f>-15</f>
        <v>-15</v>
      </c>
      <c r="G255" s="64">
        <f>-4</f>
        <v>-4</v>
      </c>
      <c r="H255" s="65">
        <f>IF(SIN(J255/$J$7)&gt;0,$J$7*ACOS((SIN(G255/$J$7)-SIN($D$4/$J$7)*K255)/(COS($D$4/$J$7)*SIN(L255/$J$7))),360-($J$7*ACOS((SIN(G255/$J$7)-SIN($D$4/$J$7)*K255)/(COS($D$4/$J$7)*SIN(L255/$J$7)))))</f>
        <v>70.99926621525255</v>
      </c>
      <c r="I255" s="66">
        <f>69.041*$J$7*(ACOS(SIN($D$4/$J$7)*SIN(G255/$J$7)+COS($D$4/$J$7)*COS(G255/$J$7)*COS(J255/$J$7)))</f>
        <v>8468.22814789483</v>
      </c>
      <c r="J255" s="63">
        <f>+$D$3-F255</f>
        <v>127.06</v>
      </c>
      <c r="K255" s="63">
        <f>SIN($D$4/$J$7)*SIN(G255/$J$7)+COS($D$4/$J$7)*COS(G255/$J$7)*COS(J255/$J$7)</f>
        <v>-0.5395801465892844</v>
      </c>
      <c r="L255" s="63">
        <f t="shared" si="10"/>
        <v>122.6550621789202</v>
      </c>
      <c r="M255" s="67">
        <f>IF(SIN(N255/$J$7)&gt;0,$J$7*ACOS((SIN($D$4/$J$7)-SIN(G255/$J$7)*O255)/(COS(G255/$J$7)*SIN(P255/$J$7))),360-($J$7*ACOS((SIN($D$4/$J$7)-SIN(G255/$J$7)*O255)/(COS(G255/$J$7)*SIN(P255/$J$7)))))</f>
        <v>307.8220061131744</v>
      </c>
      <c r="N255" s="68">
        <f>+F255-$D$3</f>
        <v>-127.06</v>
      </c>
      <c r="O255" s="69">
        <f>SIN(G255/$J$7)*SIN($D$4/$J$7)+COS(G255/$J$7)*COS($D$4/$J$7)*COS(N255/$J$7)</f>
        <v>-0.5395801465892844</v>
      </c>
      <c r="P255" s="59">
        <f t="shared" si="11"/>
        <v>122.6550621789202</v>
      </c>
      <c r="Q255" s="38"/>
    </row>
    <row r="256" spans="1:17" ht="12" customHeight="1">
      <c r="A256" s="46">
        <f t="shared" si="9"/>
        <v>249</v>
      </c>
      <c r="B256" s="46" t="s">
        <v>537</v>
      </c>
      <c r="C256" s="46" t="s">
        <v>538</v>
      </c>
      <c r="D256" s="61" t="s">
        <v>24</v>
      </c>
      <c r="E256" s="61" t="s">
        <v>32</v>
      </c>
      <c r="F256" s="64">
        <f>-9</f>
        <v>-9</v>
      </c>
      <c r="G256" s="64">
        <v>0.5</v>
      </c>
      <c r="H256" s="65">
        <f>IF(SIN(J256/$J$7)&gt;0,$J$7*ACOS((SIN(G256/$J$7)-SIN($D$4/$J$7)*K256)/(COS($D$4/$J$7)*SIN(L256/$J$7))),360-($J$7*ACOS((SIN(G256/$J$7)-SIN($D$4/$J$7)*K256)/(COS($D$4/$J$7)*SIN(L256/$J$7)))))</f>
        <v>71.15251785513902</v>
      </c>
      <c r="I256" s="66">
        <f>69.041*$J$7*(ACOS(SIN($D$4/$J$7)*SIN(G256/$J$7)+COS($D$4/$J$7)*COS(G256/$J$7)*COS(J256/$J$7)))</f>
        <v>7950.74339333361</v>
      </c>
      <c r="J256" s="63">
        <f>+$D$3-F256</f>
        <v>121.06</v>
      </c>
      <c r="K256" s="63">
        <f>SIN($D$4/$J$7)*SIN(G256/$J$7)+COS($D$4/$J$7)*COS(G256/$J$7)*COS(J256/$J$7)</f>
        <v>-0.42514334265540016</v>
      </c>
      <c r="L256" s="63">
        <f t="shared" si="10"/>
        <v>115.15973687133167</v>
      </c>
      <c r="M256" s="67">
        <f>IF(SIN(N256/$J$7)&gt;0,$J$7*ACOS((SIN($D$4/$J$7)-SIN(G256/$J$7)*O256)/(COS(G256/$J$7)*SIN(P256/$J$7))),360-($J$7*ACOS((SIN($D$4/$J$7)-SIN(G256/$J$7)*O256)/(COS(G256/$J$7)*SIN(P256/$J$7)))))</f>
        <v>307.93130623491174</v>
      </c>
      <c r="N256" s="68">
        <f>+F256-$D$3</f>
        <v>-121.06</v>
      </c>
      <c r="O256" s="69">
        <f>SIN(G256/$J$7)*SIN($D$4/$J$7)+COS(G256/$J$7)*COS($D$4/$J$7)*COS(N256/$J$7)</f>
        <v>-0.42514334265540016</v>
      </c>
      <c r="P256" s="59">
        <f t="shared" si="11"/>
        <v>115.15973687133167</v>
      </c>
      <c r="Q256" s="38"/>
    </row>
    <row r="257" spans="1:17" ht="12" customHeight="1">
      <c r="A257" s="46">
        <f t="shared" si="9"/>
        <v>250</v>
      </c>
      <c r="B257" s="46" t="s">
        <v>539</v>
      </c>
      <c r="C257" s="46" t="s">
        <v>540</v>
      </c>
      <c r="D257" s="61" t="s">
        <v>24</v>
      </c>
      <c r="E257" s="61" t="s">
        <v>32</v>
      </c>
      <c r="F257" s="64">
        <f>-15</f>
        <v>-15</v>
      </c>
      <c r="G257" s="64">
        <v>12</v>
      </c>
      <c r="H257" s="65">
        <f>IF(SIN(J257/$J$7)&gt;0,$J$7*ACOS((SIN(G257/$J$7)-SIN($D$4/$J$7)*K257)/(COS($D$4/$J$7)*SIN(L257/$J$7))),360-($J$7*ACOS((SIN(G257/$J$7)-SIN($D$4/$J$7)*K257)/(COS($D$4/$J$7)*SIN(L257/$J$7)))))</f>
        <v>57.406937161963306</v>
      </c>
      <c r="I257" s="66">
        <f>69.041*$J$7*(ACOS(SIN($D$4/$J$7)*SIN(G257/$J$7)+COS($D$4/$J$7)*COS(G257/$J$7)*COS(J257/$J$7)))</f>
        <v>7740.122053601102</v>
      </c>
      <c r="J257" s="63">
        <f>+$D$3-F257</f>
        <v>127.06</v>
      </c>
      <c r="K257" s="63">
        <f>SIN($D$4/$J$7)*SIN(G257/$J$7)+COS($D$4/$J$7)*COS(G257/$J$7)*COS(J257/$J$7)</f>
        <v>-0.37637087102356365</v>
      </c>
      <c r="L257" s="63">
        <f t="shared" si="10"/>
        <v>112.10906640403677</v>
      </c>
      <c r="M257" s="67">
        <f>IF(SIN(N257/$J$7)&gt;0,$J$7*ACOS((SIN($D$4/$J$7)-SIN(G257/$J$7)*O257)/(COS(G257/$J$7)*SIN(P257/$J$7))),360-($J$7*ACOS((SIN($D$4/$J$7)-SIN(G257/$J$7)*O257)/(COS(G257/$J$7)*SIN(P257/$J$7)))))</f>
        <v>314.12323357146624</v>
      </c>
      <c r="N257" s="68">
        <f>+F257-$D$3</f>
        <v>-127.06</v>
      </c>
      <c r="O257" s="69">
        <f>SIN(G257/$J$7)*SIN($D$4/$J$7)+COS(G257/$J$7)*COS($D$4/$J$7)*COS(N257/$J$7)</f>
        <v>-0.37637087102356365</v>
      </c>
      <c r="P257" s="59">
        <f t="shared" si="11"/>
        <v>112.10906640403677</v>
      </c>
      <c r="Q257" s="38"/>
    </row>
    <row r="258" spans="1:17" ht="12" customHeight="1">
      <c r="A258" s="46">
        <f t="shared" si="9"/>
        <v>251</v>
      </c>
      <c r="B258" s="46" t="s">
        <v>541</v>
      </c>
      <c r="C258" s="46" t="s">
        <v>542</v>
      </c>
      <c r="D258" s="61" t="s">
        <v>24</v>
      </c>
      <c r="E258" s="61" t="s">
        <v>51</v>
      </c>
      <c r="F258" s="64">
        <v>4</v>
      </c>
      <c r="G258" s="64">
        <v>5.5</v>
      </c>
      <c r="H258" s="65">
        <f>IF(SIN(J258/$J$7)&gt;0,$J$7*ACOS((SIN(G258/$J$7)-SIN($D$4/$J$7)*K258)/(COS($D$4/$J$7)*SIN(L258/$J$7))),360-($J$7*ACOS((SIN(G258/$J$7)-SIN($D$4/$J$7)*K258)/(COS($D$4/$J$7)*SIN(L258/$J$7)))))</f>
        <v>75.17823674665928</v>
      </c>
      <c r="I258" s="66">
        <f>69.041*$J$7*(ACOS(SIN($D$4/$J$7)*SIN(G258/$J$7)+COS($D$4/$J$7)*COS(G258/$J$7)*COS(J258/$J$7)))</f>
        <v>7027.200991301219</v>
      </c>
      <c r="J258" s="63">
        <f>+$D$3-F258</f>
        <v>108.06</v>
      </c>
      <c r="K258" s="63">
        <f>SIN($D$4/$J$7)*SIN(G258/$J$7)+COS($D$4/$J$7)*COS(G258/$J$7)*COS(J258/$J$7)</f>
        <v>-0.20420582687097566</v>
      </c>
      <c r="L258" s="63">
        <f t="shared" si="10"/>
        <v>101.78301286628553</v>
      </c>
      <c r="M258" s="67">
        <f>IF(SIN(N258/$J$7)&gt;0,$J$7*ACOS((SIN($D$4/$J$7)-SIN(G258/$J$7)*O258)/(COS(G258/$J$7)*SIN(P258/$J$7))),360-($J$7*ACOS((SIN($D$4/$J$7)-SIN(G258/$J$7)*O258)/(COS(G258/$J$7)*SIN(P258/$J$7)))))</f>
        <v>305.9626755086615</v>
      </c>
      <c r="N258" s="68">
        <f>+F258-$D$3</f>
        <v>-108.06</v>
      </c>
      <c r="O258" s="69">
        <f>SIN(G258/$J$7)*SIN($D$4/$J$7)+COS(G258/$J$7)*COS($D$4/$J$7)*COS(N258/$J$7)</f>
        <v>-0.20420582687097566</v>
      </c>
      <c r="P258" s="59">
        <f t="shared" si="11"/>
        <v>101.78301286628553</v>
      </c>
      <c r="Q258" s="38"/>
    </row>
    <row r="259" spans="1:17" ht="12" customHeight="1">
      <c r="A259" s="46">
        <f t="shared" si="9"/>
        <v>252</v>
      </c>
      <c r="B259" s="46" t="s">
        <v>734</v>
      </c>
      <c r="C259" s="46" t="s">
        <v>732</v>
      </c>
      <c r="D259" s="61" t="s">
        <v>37</v>
      </c>
      <c r="E259" s="61">
        <v>30</v>
      </c>
      <c r="F259" s="64">
        <v>-158.31</v>
      </c>
      <c r="G259" s="64">
        <v>-19.88</v>
      </c>
      <c r="H259" s="65">
        <f>IF(SIN(J259/$J$7)&gt;0,$J$7*ACOS((SIN(G259/$J$7)-SIN($D$4/$J$7)*K259)/(COS($D$4/$J$7)*SIN(L259/$J$7))),360-($J$7*ACOS((SIN(G259/$J$7)-SIN($D$4/$J$7)*K259)/(COS($D$4/$J$7)*SIN(L259/$J$7)))))</f>
        <v>253.04173950405362</v>
      </c>
      <c r="I259" s="66">
        <f>69.041*$J$7*(ACOS(SIN($D$4/$J$7)*SIN(G259/$J$7)+COS($D$4/$J$7)*COS(G259/$J$7)*COS(J259/$J$7)))</f>
        <v>6941.185895208092</v>
      </c>
      <c r="J259" s="63">
        <f>+$D$3-F259</f>
        <v>270.37</v>
      </c>
      <c r="K259" s="63">
        <f>SIN($D$4/$J$7)*SIN(G259/$J$7)+COS($D$4/$J$7)*COS(G259/$J$7)*COS(J259/$J$7)</f>
        <v>-0.18287314935909302</v>
      </c>
      <c r="L259" s="63">
        <f t="shared" si="10"/>
        <v>100.5371575615662</v>
      </c>
      <c r="M259" s="67">
        <f>IF(SIN(N259/$J$7)&gt;0,$J$7*ACOS((SIN($D$4/$J$7)-SIN(G259/$J$7)*O259)/(COS(G259/$J$7)*SIN(P259/$J$7))),360-($J$7*ACOS((SIN($D$4/$J$7)-SIN(G259/$J$7)*O259)/(COS(G259/$J$7)*SIN(P259/$J$7)))))</f>
        <v>57.96036666350386</v>
      </c>
      <c r="N259" s="68">
        <f>+F259-$D$3</f>
        <v>-270.37</v>
      </c>
      <c r="O259" s="69">
        <f>SIN(G259/$J$7)*SIN($D$4/$J$7)+COS(G259/$J$7)*COS($D$4/$J$7)*COS(N259/$J$7)</f>
        <v>-0.18287314935909302</v>
      </c>
      <c r="P259" s="59">
        <f t="shared" si="11"/>
        <v>100.5371575615662</v>
      </c>
      <c r="Q259" s="38"/>
    </row>
    <row r="260" spans="1:17" ht="12" customHeight="1">
      <c r="A260" s="46">
        <f t="shared" si="9"/>
        <v>253</v>
      </c>
      <c r="B260" s="46" t="s">
        <v>543</v>
      </c>
      <c r="C260" s="46" t="s">
        <v>544</v>
      </c>
      <c r="D260" s="61" t="s">
        <v>24</v>
      </c>
      <c r="E260" s="61" t="s">
        <v>51</v>
      </c>
      <c r="F260" s="64">
        <f>-2.3</f>
        <v>-2.3</v>
      </c>
      <c r="G260" s="64">
        <v>6.3</v>
      </c>
      <c r="H260" s="65">
        <f>IF(SIN(J260/$J$7)&gt;0,$J$7*ACOS((SIN(G260/$J$7)-SIN($D$4/$J$7)*K260)/(COS($D$4/$J$7)*SIN(L260/$J$7))),360-($J$7*ACOS((SIN(G260/$J$7)-SIN($D$4/$J$7)*K260)/(COS($D$4/$J$7)*SIN(L260/$J$7)))))</f>
        <v>70.64693076478153</v>
      </c>
      <c r="I260" s="66">
        <f>69.041*$J$7*(ACOS(SIN($D$4/$J$7)*SIN(G260/$J$7)+COS($D$4/$J$7)*COS(G260/$J$7)*COS(J260/$J$7)))</f>
        <v>7340.558476739071</v>
      </c>
      <c r="J260" s="63">
        <f>+$D$3-F260</f>
        <v>114.36</v>
      </c>
      <c r="K260" s="63">
        <f>SIN($D$4/$J$7)*SIN(G260/$J$7)+COS($D$4/$J$7)*COS(G260/$J$7)*COS(J260/$J$7)</f>
        <v>-0.2810306841009914</v>
      </c>
      <c r="L260" s="63">
        <f t="shared" si="10"/>
        <v>106.3217287805662</v>
      </c>
      <c r="M260" s="67">
        <f>IF(SIN(N260/$J$7)&gt;0,$J$7*ACOS((SIN($D$4/$J$7)-SIN(G260/$J$7)*O260)/(COS(G260/$J$7)*SIN(P260/$J$7))),360-($J$7*ACOS((SIN($D$4/$J$7)-SIN(G260/$J$7)*O260)/(COS(G260/$J$7)*SIN(P260/$J$7)))))</f>
        <v>307.7125749963104</v>
      </c>
      <c r="N260" s="68">
        <f>+F260-$D$3</f>
        <v>-114.36</v>
      </c>
      <c r="O260" s="69">
        <f>SIN(G260/$J$7)*SIN($D$4/$J$7)+COS(G260/$J$7)*COS($D$4/$J$7)*COS(N260/$J$7)</f>
        <v>-0.2810306841009914</v>
      </c>
      <c r="P260" s="59">
        <f t="shared" si="11"/>
        <v>106.3217287805662</v>
      </c>
      <c r="Q260" s="38"/>
    </row>
    <row r="261" spans="1:17" ht="12" customHeight="1">
      <c r="A261" s="46">
        <f t="shared" si="9"/>
        <v>254</v>
      </c>
      <c r="B261" s="46" t="s">
        <v>545</v>
      </c>
      <c r="C261" s="46" t="s">
        <v>546</v>
      </c>
      <c r="D261" s="61" t="s">
        <v>24</v>
      </c>
      <c r="E261" s="61" t="s">
        <v>51</v>
      </c>
      <c r="F261" s="64">
        <v>8</v>
      </c>
      <c r="G261" s="64">
        <v>13</v>
      </c>
      <c r="H261" s="65">
        <f>IF(SIN(J261/$J$7)&gt;0,$J$7*ACOS((SIN(G261/$J$7)-SIN($D$4/$J$7)*K261)/(COS($D$4/$J$7)*SIN(L261/$J$7))),360-($J$7*ACOS((SIN(G261/$J$7)-SIN($D$4/$J$7)*K261)/(COS($D$4/$J$7)*SIN(L261/$J$7)))))</f>
        <v>71.38862497750245</v>
      </c>
      <c r="I261" s="66">
        <f>69.041*$J$7*(ACOS(SIN($D$4/$J$7)*SIN(G261/$J$7)+COS($D$4/$J$7)*COS(G261/$J$7)*COS(J261/$J$7)))</f>
        <v>6502.5338272522185</v>
      </c>
      <c r="J261" s="63">
        <f>+$D$3-F261</f>
        <v>104.06</v>
      </c>
      <c r="K261" s="63">
        <f>SIN($D$4/$J$7)*SIN(G261/$J$7)+COS($D$4/$J$7)*COS(G261/$J$7)*COS(J261/$J$7)</f>
        <v>-0.07295371201177898</v>
      </c>
      <c r="L261" s="63">
        <f t="shared" si="10"/>
        <v>94.18365648313639</v>
      </c>
      <c r="M261" s="67">
        <f>IF(SIN(N261/$J$7)&gt;0,$J$7*ACOS((SIN($D$4/$J$7)-SIN(G261/$J$7)*O261)/(COS(G261/$J$7)*SIN(P261/$J$7))),360-($J$7*ACOS((SIN($D$4/$J$7)-SIN(G261/$J$7)*O261)/(COS(G261/$J$7)*SIN(P261/$J$7)))))</f>
        <v>305.8457392049896</v>
      </c>
      <c r="N261" s="68">
        <f>+F261-$D$3</f>
        <v>-104.06</v>
      </c>
      <c r="O261" s="69">
        <f>SIN(G261/$J$7)*SIN($D$4/$J$7)+COS(G261/$J$7)*COS($D$4/$J$7)*COS(N261/$J$7)</f>
        <v>-0.07295371201177898</v>
      </c>
      <c r="P261" s="59">
        <f t="shared" si="11"/>
        <v>94.18365648313639</v>
      </c>
      <c r="Q261" s="38"/>
    </row>
    <row r="262" spans="1:17" ht="12" customHeight="1">
      <c r="A262" s="46">
        <f t="shared" si="9"/>
        <v>255</v>
      </c>
      <c r="B262" s="46" t="s">
        <v>547</v>
      </c>
      <c r="C262" s="46" t="s">
        <v>548</v>
      </c>
      <c r="D262" s="61" t="s">
        <v>13</v>
      </c>
      <c r="E262" s="61" t="s">
        <v>248</v>
      </c>
      <c r="F262" s="64">
        <f>-40</f>
        <v>-40</v>
      </c>
      <c r="G262" s="64">
        <v>56</v>
      </c>
      <c r="H262" s="65">
        <f>IF(SIN(J262/$J$7)&gt;0,$J$7*ACOS((SIN(G262/$J$7)-SIN($D$4/$J$7)*K262)/(COS($D$4/$J$7)*SIN(L262/$J$7))),360-($J$7*ACOS((SIN(G262/$J$7)-SIN($D$4/$J$7)*K262)/(COS($D$4/$J$7)*SIN(L262/$J$7)))))</f>
        <v>15.206063816797302</v>
      </c>
      <c r="I262" s="66">
        <f>69.041*$J$7*(ACOS(SIN($D$4/$J$7)*SIN(G262/$J$7)+COS($D$4/$J$7)*COS(G262/$J$7)*COS(J262/$J$7)))</f>
        <v>6029.809391313847</v>
      </c>
      <c r="J262" s="63">
        <f>+$D$3-F262</f>
        <v>152.06</v>
      </c>
      <c r="K262" s="63">
        <f>SIN($D$4/$J$7)*SIN(G262/$J$7)+COS($D$4/$J$7)*COS(G262/$J$7)*COS(J262/$J$7)</f>
        <v>0.046467554044600956</v>
      </c>
      <c r="L262" s="63">
        <f t="shared" si="10"/>
        <v>87.33664621476872</v>
      </c>
      <c r="M262" s="67">
        <f>IF(SIN(N262/$J$7)&gt;0,$J$7*ACOS((SIN($D$4/$J$7)-SIN(G262/$J$7)*O262)/(COS(G262/$J$7)*SIN(P262/$J$7))),360-($J$7*ACOS((SIN($D$4/$J$7)-SIN(G262/$J$7)*O262)/(COS(G262/$J$7)*SIN(P262/$J$7)))))</f>
        <v>336.98881156963387</v>
      </c>
      <c r="N262" s="68">
        <f>+F262-$D$3</f>
        <v>-152.06</v>
      </c>
      <c r="O262" s="69">
        <f>SIN(G262/$J$7)*SIN($D$4/$J$7)+COS(G262/$J$7)*COS($D$4/$J$7)*COS(N262/$J$7)</f>
        <v>0.046467554044600956</v>
      </c>
      <c r="P262" s="59">
        <f t="shared" si="11"/>
        <v>87.33664621476872</v>
      </c>
      <c r="Q262" s="38"/>
    </row>
    <row r="263" spans="1:17" ht="12" customHeight="1">
      <c r="A263" s="46">
        <f t="shared" si="9"/>
        <v>256</v>
      </c>
      <c r="B263" s="46" t="s">
        <v>549</v>
      </c>
      <c r="C263" s="46" t="s">
        <v>550</v>
      </c>
      <c r="D263" s="61" t="s">
        <v>17</v>
      </c>
      <c r="E263" s="61" t="s">
        <v>551</v>
      </c>
      <c r="F263" s="64">
        <f>-83</f>
        <v>-83</v>
      </c>
      <c r="G263" s="64">
        <v>55</v>
      </c>
      <c r="H263" s="65">
        <f>IF(SIN(J263/$J$7)&gt;0,$J$7*ACOS((SIN(G263/$J$7)-SIN($D$4/$J$7)*K263)/(COS($D$4/$J$7)*SIN(L263/$J$7))),360-($J$7*ACOS((SIN(G263/$J$7)-SIN($D$4/$J$7)*K263)/(COS($D$4/$J$7)*SIN(L263/$J$7)))))</f>
        <v>351.4287902124951</v>
      </c>
      <c r="I263" s="66">
        <f>69.041*$J$7*(ACOS(SIN($D$4/$J$7)*SIN(G263/$J$7)+COS($D$4/$J$7)*COS(G263/$J$7)*COS(J263/$J$7)))</f>
        <v>6248.843682776961</v>
      </c>
      <c r="J263" s="63">
        <f>+$D$3-F263</f>
        <v>195.06</v>
      </c>
      <c r="K263" s="63">
        <f>SIN($D$4/$J$7)*SIN(G263/$J$7)+COS($D$4/$J$7)*COS(G263/$J$7)*COS(J263/$J$7)</f>
        <v>-0.008886595399974107</v>
      </c>
      <c r="L263" s="63">
        <f t="shared" si="10"/>
        <v>90.50917111248333</v>
      </c>
      <c r="M263" s="67">
        <f>IF(SIN(N263/$J$7)&gt;0,$J$7*ACOS((SIN($D$4/$J$7)-SIN(G263/$J$7)*O263)/(COS(G263/$J$7)*SIN(P263/$J$7))),360-($J$7*ACOS((SIN($D$4/$J$7)-SIN(G263/$J$7)*O263)/(COS(G263/$J$7)*SIN(P263/$J$7)))))</f>
        <v>12.506608667659151</v>
      </c>
      <c r="N263" s="68">
        <f>+F263-$D$3</f>
        <v>-195.06</v>
      </c>
      <c r="O263" s="69">
        <f>SIN(G263/$J$7)*SIN($D$4/$J$7)+COS(G263/$J$7)*COS($D$4/$J$7)*COS(N263/$J$7)</f>
        <v>-0.008886595399974107</v>
      </c>
      <c r="P263" s="59">
        <f t="shared" si="11"/>
        <v>90.50917111248333</v>
      </c>
      <c r="Q263" s="38"/>
    </row>
    <row r="264" spans="1:17" ht="12" customHeight="1">
      <c r="A264" s="46">
        <f t="shared" si="9"/>
        <v>257</v>
      </c>
      <c r="B264" s="46" t="s">
        <v>552</v>
      </c>
      <c r="C264" s="46" t="s">
        <v>553</v>
      </c>
      <c r="D264" s="61" t="s">
        <v>13</v>
      </c>
      <c r="E264" s="61" t="s">
        <v>14</v>
      </c>
      <c r="F264" s="64">
        <f>-20.5</f>
        <v>-20.5</v>
      </c>
      <c r="G264" s="64">
        <v>55</v>
      </c>
      <c r="H264" s="65">
        <f>IF(SIN(J264/$J$7)&gt;0,$J$7*ACOS((SIN(G264/$J$7)-SIN($D$4/$J$7)*K264)/(COS($D$4/$J$7)*SIN(L264/$J$7))),360-($J$7*ACOS((SIN(G264/$J$7)-SIN($D$4/$J$7)*K264)/(COS($D$4/$J$7)*SIN(L264/$J$7)))))</f>
        <v>25.21784399861061</v>
      </c>
      <c r="I264" s="66">
        <f>69.041*$J$7*(ACOS(SIN($D$4/$J$7)*SIN(G264/$J$7)+COS($D$4/$J$7)*COS(G264/$J$7)*COS(J264/$J$7)))</f>
        <v>5700.3708910712485</v>
      </c>
      <c r="J264" s="63">
        <f>+$D$3-F264</f>
        <v>132.56</v>
      </c>
      <c r="K264" s="63">
        <f>SIN($D$4/$J$7)*SIN(G264/$J$7)+COS($D$4/$J$7)*COS(G264/$J$7)*COS(J264/$J$7)</f>
        <v>0.12940116794553258</v>
      </c>
      <c r="L264" s="63">
        <f t="shared" si="10"/>
        <v>82.56501051652278</v>
      </c>
      <c r="M264" s="67">
        <f>IF(SIN(N264/$J$7)&gt;0,$J$7*ACOS((SIN($D$4/$J$7)-SIN(G264/$J$7)*O264)/(COS(G264/$J$7)*SIN(P264/$J$7))),360-($J$7*ACOS((SIN($D$4/$J$7)-SIN(G264/$J$7)*O264)/(COS(G264/$J$7)*SIN(P264/$J$7)))))</f>
        <v>321.75213286645635</v>
      </c>
      <c r="N264" s="68">
        <f>+F264-$D$3</f>
        <v>-132.56</v>
      </c>
      <c r="O264" s="69">
        <f>SIN(G264/$J$7)*SIN($D$4/$J$7)+COS(G264/$J$7)*COS($D$4/$J$7)*COS(N264/$J$7)</f>
        <v>0.12940116794553258</v>
      </c>
      <c r="P264" s="59">
        <f t="shared" si="11"/>
        <v>82.56501051652278</v>
      </c>
      <c r="Q264" s="38"/>
    </row>
    <row r="265" spans="1:17" ht="12" customHeight="1">
      <c r="A265" s="46">
        <f t="shared" si="9"/>
        <v>258</v>
      </c>
      <c r="B265" s="46" t="s">
        <v>554</v>
      </c>
      <c r="C265" s="46" t="s">
        <v>555</v>
      </c>
      <c r="D265" s="61" t="s">
        <v>17</v>
      </c>
      <c r="E265" s="61" t="s">
        <v>256</v>
      </c>
      <c r="F265" s="64">
        <f>-64</f>
        <v>-64</v>
      </c>
      <c r="G265" s="64">
        <v>40</v>
      </c>
      <c r="H265" s="65">
        <f>IF(SIN(J265/$J$7)&gt;0,$J$7*ACOS((SIN(G265/$J$7)-SIN($D$4/$J$7)*K265)/(COS($D$4/$J$7)*SIN(L265/$J$7))),360-($J$7*ACOS((SIN(G265/$J$7)-SIN($D$4/$J$7)*K265)/(COS($D$4/$J$7)*SIN(L265/$J$7)))))</f>
        <v>3.1446749233237594</v>
      </c>
      <c r="I265" s="66">
        <f>69.041*$J$7*(ACOS(SIN($D$4/$J$7)*SIN(G265/$J$7)+COS($D$4/$J$7)*COS(G265/$J$7)*COS(J265/$J$7)))</f>
        <v>7343.192371225876</v>
      </c>
      <c r="J265" s="63">
        <f>+$D$3-F265</f>
        <v>176.06</v>
      </c>
      <c r="K265" s="63">
        <f>SIN($D$4/$J$7)*SIN(G265/$J$7)+COS($D$4/$J$7)*COS(G265/$J$7)*COS(J265/$J$7)</f>
        <v>-0.28166962580935656</v>
      </c>
      <c r="L265" s="63">
        <f t="shared" si="10"/>
        <v>106.35987849576159</v>
      </c>
      <c r="M265" s="67">
        <f>IF(SIN(N265/$J$7)&gt;0,$J$7*ACOS((SIN($D$4/$J$7)-SIN(G265/$J$7)*O265)/(COS(G265/$J$7)*SIN(P265/$J$7))),360-($J$7*ACOS((SIN($D$4/$J$7)-SIN(G265/$J$7)*O265)/(COS(G265/$J$7)*SIN(P265/$J$7)))))</f>
        <v>356.5784934131669</v>
      </c>
      <c r="N265" s="68">
        <f>+F265-$D$3</f>
        <v>-176.06</v>
      </c>
      <c r="O265" s="69">
        <f>SIN(G265/$J$7)*SIN($D$4/$J$7)+COS(G265/$J$7)*COS($D$4/$J$7)*COS(N265/$J$7)</f>
        <v>-0.28166962580935656</v>
      </c>
      <c r="P265" s="59">
        <f t="shared" si="11"/>
        <v>106.35987849576159</v>
      </c>
      <c r="Q265" s="38"/>
    </row>
    <row r="266" spans="1:17" ht="12" customHeight="1">
      <c r="A266" s="46">
        <f t="shared" si="9"/>
        <v>259</v>
      </c>
      <c r="B266" s="46" t="s">
        <v>556</v>
      </c>
      <c r="C266" s="46" t="s">
        <v>557</v>
      </c>
      <c r="D266" s="61" t="s">
        <v>17</v>
      </c>
      <c r="E266" s="61" t="s">
        <v>256</v>
      </c>
      <c r="F266" s="64">
        <f>-76</f>
        <v>-76</v>
      </c>
      <c r="G266" s="64">
        <v>53</v>
      </c>
      <c r="H266" s="65">
        <f>IF(SIN(J266/$J$7)&gt;0,$J$7*ACOS((SIN(G266/$J$7)-SIN($D$4/$J$7)*K266)/(COS($D$4/$J$7)*SIN(L266/$J$7))),360-($J$7*ACOS((SIN(G266/$J$7)-SIN($D$4/$J$7)*K266)/(COS($D$4/$J$7)*SIN(L266/$J$7)))))</f>
        <v>355.1521824669779</v>
      </c>
      <c r="I266" s="66">
        <f>69.041*$J$7*(ACOS(SIN($D$4/$J$7)*SIN(G266/$J$7)+COS($D$4/$J$7)*COS(G266/$J$7)*COS(J266/$J$7)))</f>
        <v>6432.250046194456</v>
      </c>
      <c r="J266" s="63">
        <f>+$D$3-F266</f>
        <v>188.06</v>
      </c>
      <c r="K266" s="63">
        <f>SIN($D$4/$J$7)*SIN(G266/$J$7)+COS($D$4/$J$7)*COS(G266/$J$7)*COS(J266/$J$7)</f>
        <v>-0.05522301130431739</v>
      </c>
      <c r="L266" s="63">
        <f t="shared" si="10"/>
        <v>93.16565585948142</v>
      </c>
      <c r="M266" s="67">
        <f>IF(SIN(N266/$J$7)&gt;0,$J$7*ACOS((SIN($D$4/$J$7)-SIN(G266/$J$7)*O266)/(COS(G266/$J$7)*SIN(P266/$J$7))),360-($J$7*ACOS((SIN($D$4/$J$7)-SIN(G266/$J$7)*O266)/(COS(G266/$J$7)*SIN(P266/$J$7)))))</f>
        <v>6.7207355783334926</v>
      </c>
      <c r="N266" s="68">
        <f>+F266-$D$3</f>
        <v>-188.06</v>
      </c>
      <c r="O266" s="69">
        <f>SIN(G266/$J$7)*SIN($D$4/$J$7)+COS(G266/$J$7)*COS($D$4/$J$7)*COS(N266/$J$7)</f>
        <v>-0.05522301130431739</v>
      </c>
      <c r="P266" s="59">
        <f t="shared" si="11"/>
        <v>93.16565585948142</v>
      </c>
      <c r="Q266" s="38"/>
    </row>
    <row r="267" spans="1:17" ht="12" customHeight="1">
      <c r="A267" s="46">
        <f aca="true" t="shared" si="12" ref="A267:A330">1+A266</f>
        <v>260</v>
      </c>
      <c r="B267" s="46" t="s">
        <v>558</v>
      </c>
      <c r="C267" s="46" t="s">
        <v>559</v>
      </c>
      <c r="D267" s="61" t="s">
        <v>13</v>
      </c>
      <c r="E267" s="61" t="s">
        <v>248</v>
      </c>
      <c r="F267" s="64">
        <f>-31</f>
        <v>-31</v>
      </c>
      <c r="G267" s="64">
        <v>50.5</v>
      </c>
      <c r="H267" s="65">
        <f>IF(SIN(J267/$J$7)&gt;0,$J$7*ACOS((SIN(G267/$J$7)-SIN($D$4/$J$7)*K267)/(COS($D$4/$J$7)*SIN(L267/$J$7))),360-($J$7*ACOS((SIN(G267/$J$7)-SIN($D$4/$J$7)*K267)/(COS($D$4/$J$7)*SIN(L267/$J$7)))))</f>
        <v>22.47440582361894</v>
      </c>
      <c r="I267" s="66">
        <f>69.041*$J$7*(ACOS(SIN($D$4/$J$7)*SIN(G267/$J$7)+COS($D$4/$J$7)*COS(G267/$J$7)*COS(J267/$J$7)))</f>
        <v>6202.807916360459</v>
      </c>
      <c r="J267" s="63">
        <f>+$D$3-F267</f>
        <v>143.06</v>
      </c>
      <c r="K267" s="63">
        <f>SIN($D$4/$J$7)*SIN(G267/$J$7)+COS($D$4/$J$7)*COS(G267/$J$7)*COS(J267/$J$7)</f>
        <v>0.002750944358192009</v>
      </c>
      <c r="L267" s="63">
        <f aca="true" t="shared" si="13" ref="L267:L330">+$J$7*ACOS(K267)</f>
        <v>89.84238229979952</v>
      </c>
      <c r="M267" s="67">
        <f>IF(SIN(N267/$J$7)&gt;0,$J$7*ACOS((SIN($D$4/$J$7)-SIN(G267/$J$7)*O267)/(COS(G267/$J$7)*SIN(P267/$J$7))),360-($J$7*ACOS((SIN($D$4/$J$7)-SIN(G267/$J$7)*O267)/(COS(G267/$J$7)*SIN(P267/$J$7)))))</f>
        <v>329.943114538105</v>
      </c>
      <c r="N267" s="68">
        <f>+F267-$D$3</f>
        <v>-143.06</v>
      </c>
      <c r="O267" s="69">
        <f>SIN(G267/$J$7)*SIN($D$4/$J$7)+COS(G267/$J$7)*COS($D$4/$J$7)*COS(N267/$J$7)</f>
        <v>0.002750944358192009</v>
      </c>
      <c r="P267" s="59">
        <f t="shared" si="11"/>
        <v>89.84238229979952</v>
      </c>
      <c r="Q267" s="38"/>
    </row>
    <row r="268" spans="1:17" ht="12" customHeight="1">
      <c r="A268" s="46">
        <f t="shared" si="12"/>
        <v>261</v>
      </c>
      <c r="B268" s="46" t="s">
        <v>560</v>
      </c>
      <c r="C268" s="46" t="s">
        <v>561</v>
      </c>
      <c r="D268" s="61" t="s">
        <v>70</v>
      </c>
      <c r="E268" s="61" t="s">
        <v>105</v>
      </c>
      <c r="F268" s="64">
        <v>59.8</v>
      </c>
      <c r="G268" s="64">
        <v>17</v>
      </c>
      <c r="H268" s="65">
        <f>IF(SIN(J268/$J$7)&gt;0,$J$7*ACOS((SIN(G268/$J$7)-SIN($D$4/$J$7)*K268)/(COS($D$4/$J$7)*SIN(L268/$J$7))),360-($J$7*ACOS((SIN(G268/$J$7)-SIN($D$4/$J$7)*K268)/(COS($D$4/$J$7)*SIN(L268/$J$7)))))</f>
        <v>96.02588945319988</v>
      </c>
      <c r="I268" s="66">
        <f>69.041*$J$7*(ACOS(SIN($D$4/$J$7)*SIN(G268/$J$7)+COS($D$4/$J$7)*COS(G268/$J$7)*COS(J268/$J$7)))</f>
        <v>3417.762139398673</v>
      </c>
      <c r="J268" s="63">
        <f>+$D$3-F268</f>
        <v>52.260000000000005</v>
      </c>
      <c r="K268" s="63">
        <f>SIN($D$4/$J$7)*SIN(G268/$J$7)+COS($D$4/$J$7)*COS(G268/$J$7)*COS(J268/$J$7)</f>
        <v>0.6494033274870237</v>
      </c>
      <c r="L268" s="63">
        <f t="shared" si="13"/>
        <v>49.50336958327186</v>
      </c>
      <c r="M268" s="67">
        <f>IF(SIN(N268/$J$7)&gt;0,$J$7*ACOS((SIN($D$4/$J$7)-SIN(G268/$J$7)*O268)/(COS(G268/$J$7)*SIN(P268/$J$7))),360-($J$7*ACOS((SIN($D$4/$J$7)-SIN(G268/$J$7)*O268)/(COS(G268/$J$7)*SIN(P268/$J$7)))))</f>
        <v>299.92625805457146</v>
      </c>
      <c r="N268" s="68">
        <f>+F268-$D$3</f>
        <v>-52.260000000000005</v>
      </c>
      <c r="O268" s="69">
        <f>SIN(G268/$J$7)*SIN($D$4/$J$7)+COS(G268/$J$7)*COS($D$4/$J$7)*COS(N268/$J$7)</f>
        <v>0.6494033274870237</v>
      </c>
      <c r="P268" s="59">
        <f t="shared" si="11"/>
        <v>49.50336958327186</v>
      </c>
      <c r="Q268" s="38"/>
    </row>
    <row r="269" spans="1:17" ht="12" customHeight="1">
      <c r="A269" s="46">
        <f t="shared" si="12"/>
        <v>262</v>
      </c>
      <c r="B269" s="46" t="s">
        <v>562</v>
      </c>
      <c r="C269" s="46" t="s">
        <v>563</v>
      </c>
      <c r="D269" s="61" t="s">
        <v>70</v>
      </c>
      <c r="E269" s="61" t="s">
        <v>275</v>
      </c>
      <c r="F269" s="64">
        <v>88.3</v>
      </c>
      <c r="G269" s="64">
        <v>17.5</v>
      </c>
      <c r="H269" s="65">
        <f>IF(SIN(J269/$J$7)&gt;0,$J$7*ACOS((SIN(G269/$J$7)-SIN($D$4/$J$7)*K269)/(COS($D$4/$J$7)*SIN(L269/$J$7))),360-($J$7*ACOS((SIN(G269/$J$7)-SIN($D$4/$J$7)*K269)/(COS($D$4/$J$7)*SIN(L269/$J$7)))))</f>
        <v>121.10014176716047</v>
      </c>
      <c r="I269" s="66">
        <f>69.041*$J$7*(ACOS(SIN($D$4/$J$7)*SIN(G269/$J$7)+COS($D$4/$J$7)*COS(G269/$J$7)*COS(J269/$J$7)))</f>
        <v>1840.9243146148897</v>
      </c>
      <c r="J269" s="63">
        <f>+$D$3-F269</f>
        <v>23.760000000000005</v>
      </c>
      <c r="K269" s="63">
        <f>SIN($D$4/$J$7)*SIN(G269/$J$7)+COS($D$4/$J$7)*COS(G269/$J$7)*COS(J269/$J$7)</f>
        <v>0.8936518154693991</v>
      </c>
      <c r="L269" s="63">
        <f t="shared" si="13"/>
        <v>26.664218574685908</v>
      </c>
      <c r="M269" s="67">
        <f>IF(SIN(N269/$J$7)&gt;0,$J$7*ACOS((SIN($D$4/$J$7)-SIN(G269/$J$7)*O269)/(COS(G269/$J$7)*SIN(P269/$J$7))),360-($J$7*ACOS((SIN($D$4/$J$7)-SIN(G269/$J$7)*O269)/(COS(G269/$J$7)*SIN(P269/$J$7)))))</f>
        <v>311.561301974339</v>
      </c>
      <c r="N269" s="68">
        <f>+F269-$D$3</f>
        <v>-23.760000000000005</v>
      </c>
      <c r="O269" s="69">
        <f>SIN(G269/$J$7)*SIN($D$4/$J$7)+COS(G269/$J$7)*COS($D$4/$J$7)*COS(N269/$J$7)</f>
        <v>0.8936518154693991</v>
      </c>
      <c r="P269" s="59">
        <f aca="true" t="shared" si="14" ref="P269:P332">$J$7*ACOS(O269)</f>
        <v>26.664218574685908</v>
      </c>
      <c r="Q269" s="38"/>
    </row>
    <row r="270" spans="1:17" ht="12" customHeight="1">
      <c r="A270" s="46">
        <f t="shared" si="12"/>
        <v>263</v>
      </c>
      <c r="B270" s="46" t="s">
        <v>564</v>
      </c>
      <c r="C270" s="46" t="s">
        <v>565</v>
      </c>
      <c r="D270" s="61" t="s">
        <v>70</v>
      </c>
      <c r="E270" s="61" t="s">
        <v>105</v>
      </c>
      <c r="F270" s="64">
        <v>62.6</v>
      </c>
      <c r="G270" s="64">
        <v>17.3</v>
      </c>
      <c r="H270" s="65">
        <f>IF(SIN(J270/$J$7)&gt;0,$J$7*ACOS((SIN(G270/$J$7)-SIN($D$4/$J$7)*K270)/(COS($D$4/$J$7)*SIN(L270/$J$7))),360-($J$7*ACOS((SIN(G270/$J$7)-SIN($D$4/$J$7)*K270)/(COS($D$4/$J$7)*SIN(L270/$J$7)))))</f>
        <v>97.4699203513239</v>
      </c>
      <c r="I270" s="66">
        <f>69.041*$J$7*(ACOS(SIN($D$4/$J$7)*SIN(G270/$J$7)+COS($D$4/$J$7)*COS(G270/$J$7)*COS(J270/$J$7)))</f>
        <v>3247.41905773916</v>
      </c>
      <c r="J270" s="63">
        <f>+$D$3-F270</f>
        <v>49.46</v>
      </c>
      <c r="K270" s="63">
        <f>SIN($D$4/$J$7)*SIN(G270/$J$7)+COS($D$4/$J$7)*COS(G270/$J$7)*COS(J270/$J$7)</f>
        <v>0.6815374848208814</v>
      </c>
      <c r="L270" s="63">
        <f t="shared" si="13"/>
        <v>47.036095330878176</v>
      </c>
      <c r="M270" s="67">
        <f>IF(SIN(N270/$J$7)&gt;0,$J$7*ACOS((SIN($D$4/$J$7)-SIN(G270/$J$7)*O270)/(COS(G270/$J$7)*SIN(P270/$J$7))),360-($J$7*ACOS((SIN($D$4/$J$7)-SIN(G270/$J$7)*O270)/(COS(G270/$J$7)*SIN(P270/$J$7)))))</f>
        <v>300.06189090940626</v>
      </c>
      <c r="N270" s="68">
        <f>+F270-$D$3</f>
        <v>-49.46</v>
      </c>
      <c r="O270" s="69">
        <f>SIN(G270/$J$7)*SIN($D$4/$J$7)+COS(G270/$J$7)*COS($D$4/$J$7)*COS(N270/$J$7)</f>
        <v>0.6815374848208814</v>
      </c>
      <c r="P270" s="59">
        <f t="shared" si="14"/>
        <v>47.036095330878176</v>
      </c>
      <c r="Q270" s="38"/>
    </row>
    <row r="271" spans="1:17" ht="12" customHeight="1">
      <c r="A271" s="46">
        <f t="shared" si="12"/>
        <v>264</v>
      </c>
      <c r="B271" s="46" t="s">
        <v>566</v>
      </c>
      <c r="C271" s="46" t="s">
        <v>567</v>
      </c>
      <c r="D271" s="61" t="s">
        <v>24</v>
      </c>
      <c r="E271" s="61" t="s">
        <v>45</v>
      </c>
      <c r="F271" s="64">
        <f>-17.1</f>
        <v>-17.1</v>
      </c>
      <c r="G271" s="64">
        <f>-22.6</f>
        <v>-22.6</v>
      </c>
      <c r="H271" s="65">
        <f>IF(SIN(J271/$J$7)&gt;0,$J$7*ACOS((SIN(G271/$J$7)-SIN($D$4/$J$7)*K271)/(COS($D$4/$J$7)*SIN(L271/$J$7))),360-($J$7*ACOS((SIN(G271/$J$7)-SIN($D$4/$J$7)*K271)/(COS($D$4/$J$7)*SIN(L271/$J$7)))))</f>
        <v>89.8456727113529</v>
      </c>
      <c r="I271" s="66">
        <f>69.041*$J$7*(ACOS(SIN($D$4/$J$7)*SIN(G271/$J$7)+COS($D$4/$J$7)*COS(G271/$J$7)*COS(J271/$J$7)))</f>
        <v>9271.33557278865</v>
      </c>
      <c r="J271" s="63">
        <f>+$D$3-F271</f>
        <v>129.16</v>
      </c>
      <c r="K271" s="63">
        <f>SIN($D$4/$J$7)*SIN(G271/$J$7)+COS($D$4/$J$7)*COS(G271/$J$7)*COS(J271/$J$7)</f>
        <v>-0.698257732801034</v>
      </c>
      <c r="L271" s="63">
        <f t="shared" si="13"/>
        <v>134.28738825898597</v>
      </c>
      <c r="M271" s="67">
        <f>IF(SIN(N271/$J$7)&gt;0,$J$7*ACOS((SIN($D$4/$J$7)-SIN(G271/$J$7)*O271)/(COS(G271/$J$7)*SIN(P271/$J$7))),360-($J$7*ACOS((SIN($D$4/$J$7)-SIN(G271/$J$7)*O271)/(COS(G271/$J$7)*SIN(P271/$J$7)))))</f>
        <v>295.48199321643267</v>
      </c>
      <c r="N271" s="68">
        <f>+F271-$D$3</f>
        <v>-129.16</v>
      </c>
      <c r="O271" s="69">
        <f>SIN(G271/$J$7)*SIN($D$4/$J$7)+COS(G271/$J$7)*COS($D$4/$J$7)*COS(N271/$J$7)</f>
        <v>-0.698257732801034</v>
      </c>
      <c r="P271" s="59">
        <f t="shared" si="14"/>
        <v>134.28738825898597</v>
      </c>
      <c r="Q271" s="38"/>
    </row>
    <row r="272" spans="1:17" ht="12" customHeight="1">
      <c r="A272" s="46">
        <f t="shared" si="12"/>
        <v>265</v>
      </c>
      <c r="B272" s="46" t="s">
        <v>568</v>
      </c>
      <c r="C272" s="46" t="s">
        <v>569</v>
      </c>
      <c r="D272" s="61" t="s">
        <v>37</v>
      </c>
      <c r="E272" s="61" t="s">
        <v>227</v>
      </c>
      <c r="F272" s="64">
        <f>-158</f>
        <v>-158</v>
      </c>
      <c r="G272" s="64">
        <v>8</v>
      </c>
      <c r="H272" s="65">
        <f>IF(SIN(J272/$J$7)&gt;0,$J$7*ACOS((SIN(G272/$J$7)-SIN($D$4/$J$7)*K272)/(COS($D$4/$J$7)*SIN(L272/$J$7))),360-($J$7*ACOS((SIN(G272/$J$7)-SIN($D$4/$J$7)*K272)/(COS($D$4/$J$7)*SIN(L272/$J$7)))))</f>
        <v>276.64775037544183</v>
      </c>
      <c r="I272" s="66">
        <f>69.041*$J$7*(ACOS(SIN($D$4/$J$7)*SIN(G272/$J$7)+COS($D$4/$J$7)*COS(G272/$J$7)*COS(J272/$J$7)))</f>
        <v>5905.6989856606915</v>
      </c>
      <c r="J272" s="63">
        <f>+$D$3-F272</f>
        <v>270.06</v>
      </c>
      <c r="K272" s="63">
        <f>SIN($D$4/$J$7)*SIN(G272/$J$7)+COS($D$4/$J$7)*COS(G272/$J$7)*COS(J272/$J$7)</f>
        <v>0.07778027403509791</v>
      </c>
      <c r="L272" s="63">
        <f t="shared" si="13"/>
        <v>85.53901284252389</v>
      </c>
      <c r="M272" s="67">
        <f>IF(SIN(N272/$J$7)&gt;0,$J$7*ACOS((SIN($D$4/$J$7)-SIN(G272/$J$7)*O272)/(COS(G272/$J$7)*SIN(P272/$J$7))),360-($J$7*ACOS((SIN($D$4/$J$7)-SIN(G272/$J$7)*O272)/(COS(G272/$J$7)*SIN(P272/$J$7)))))</f>
        <v>56.71341014955217</v>
      </c>
      <c r="N272" s="68">
        <f>+F272-$D$3</f>
        <v>-270.06</v>
      </c>
      <c r="O272" s="69">
        <f>SIN(G272/$J$7)*SIN($D$4/$J$7)+COS(G272/$J$7)*COS($D$4/$J$7)*COS(N272/$J$7)</f>
        <v>0.07778027403509791</v>
      </c>
      <c r="P272" s="59">
        <f t="shared" si="14"/>
        <v>85.53901284252389</v>
      </c>
      <c r="Q272" s="38"/>
    </row>
    <row r="273" spans="1:17" ht="12" customHeight="1">
      <c r="A273" s="46">
        <f t="shared" si="12"/>
        <v>266</v>
      </c>
      <c r="B273" s="46" t="s">
        <v>570</v>
      </c>
      <c r="C273" s="46" t="s">
        <v>571</v>
      </c>
      <c r="D273" s="61" t="s">
        <v>37</v>
      </c>
      <c r="E273" s="61" t="s">
        <v>177</v>
      </c>
      <c r="F273" s="64">
        <f>-167</f>
        <v>-167</v>
      </c>
      <c r="G273" s="64">
        <v>9.2</v>
      </c>
      <c r="H273" s="65">
        <f>IF(SIN(J273/$J$7)&gt;0,$J$7*ACOS((SIN(G273/$J$7)-SIN($D$4/$J$7)*K273)/(COS($D$4/$J$7)*SIN(L273/$J$7))),360-($J$7*ACOS((SIN(G273/$J$7)-SIN($D$4/$J$7)*K273)/(COS($D$4/$J$7)*SIN(L273/$J$7)))))</f>
        <v>272.7801256501076</v>
      </c>
      <c r="I273" s="66">
        <f>69.041*$J$7*(ACOS(SIN($D$4/$J$7)*SIN(G273/$J$7)+COS($D$4/$J$7)*COS(G273/$J$7)*COS(J273/$J$7)))</f>
        <v>5344.728971642764</v>
      </c>
      <c r="J273" s="63">
        <f>+$D$3-F273</f>
        <v>279.06</v>
      </c>
      <c r="K273" s="63">
        <f>SIN($D$4/$J$7)*SIN(G273/$J$7)+COS($D$4/$J$7)*COS(G273/$J$7)*COS(J273/$J$7)</f>
        <v>0.21790748795257037</v>
      </c>
      <c r="L273" s="63">
        <f t="shared" si="13"/>
        <v>77.41384064023934</v>
      </c>
      <c r="M273" s="67">
        <f>IF(SIN(N273/$J$7)&gt;0,$J$7*ACOS((SIN($D$4/$J$7)-SIN(G273/$J$7)*O273)/(COS(G273/$J$7)*SIN(P273/$J$7))),360-($J$7*ACOS((SIN($D$4/$J$7)-SIN(G273/$J$7)*O273)/(COS(G273/$J$7)*SIN(P273/$J$7)))))</f>
        <v>57.4871113867203</v>
      </c>
      <c r="N273" s="68">
        <f>+F273-$D$3</f>
        <v>-279.06</v>
      </c>
      <c r="O273" s="69">
        <f>SIN(G273/$J$7)*SIN($D$4/$J$7)+COS(G273/$J$7)*COS($D$4/$J$7)*COS(N273/$J$7)</f>
        <v>0.21790748795257037</v>
      </c>
      <c r="P273" s="59">
        <f t="shared" si="14"/>
        <v>77.41384064023934</v>
      </c>
      <c r="Q273" s="38"/>
    </row>
    <row r="274" spans="1:17" ht="12" customHeight="1">
      <c r="A274" s="46">
        <f t="shared" si="12"/>
        <v>267</v>
      </c>
      <c r="B274" s="46" t="s">
        <v>572</v>
      </c>
      <c r="C274" s="46" t="s">
        <v>573</v>
      </c>
      <c r="D274" s="61" t="s">
        <v>37</v>
      </c>
      <c r="E274" s="61" t="s">
        <v>134</v>
      </c>
      <c r="F274" s="64">
        <f>-115</f>
        <v>-115</v>
      </c>
      <c r="G274" s="64">
        <v>5</v>
      </c>
      <c r="H274" s="65">
        <f>IF(SIN(J274/$J$7)&gt;0,$J$7*ACOS((SIN(G274/$J$7)-SIN($D$4/$J$7)*K274)/(COS($D$4/$J$7)*SIN(L274/$J$7))),360-($J$7*ACOS((SIN(G274/$J$7)-SIN($D$4/$J$7)*K274)/(COS($D$4/$J$7)*SIN(L274/$J$7)))))</f>
        <v>301.5451925566675</v>
      </c>
      <c r="I274" s="66">
        <f>69.041*$J$7*(ACOS(SIN($D$4/$J$7)*SIN(G274/$J$7)+COS($D$4/$J$7)*COS(G274/$J$7)*COS(J274/$J$7)))</f>
        <v>8364.930958029337</v>
      </c>
      <c r="J274" s="63">
        <f>+$D$3-F274</f>
        <v>227.06</v>
      </c>
      <c r="K274" s="63">
        <f>SIN($D$4/$J$7)*SIN(G274/$J$7)+COS($D$4/$J$7)*COS(G274/$J$7)*COS(J274/$J$7)</f>
        <v>-0.5174131553277865</v>
      </c>
      <c r="L274" s="63">
        <f t="shared" si="13"/>
        <v>121.1588904857887</v>
      </c>
      <c r="M274" s="67">
        <f>IF(SIN(N274/$J$7)&gt;0,$J$7*ACOS((SIN($D$4/$J$7)-SIN(G274/$J$7)*O274)/(COS(G274/$J$7)*SIN(P274/$J$7))),360-($J$7*ACOS((SIN($D$4/$J$7)-SIN(G274/$J$7)*O274)/(COS(G274/$J$7)*SIN(P274/$J$7)))))</f>
        <v>45.47650296906627</v>
      </c>
      <c r="N274" s="68">
        <f>+F274-$D$3</f>
        <v>-227.06</v>
      </c>
      <c r="O274" s="69">
        <f>SIN(G274/$J$7)*SIN($D$4/$J$7)+COS(G274/$J$7)*COS($D$4/$J$7)*COS(N274/$J$7)</f>
        <v>-0.5174131553277865</v>
      </c>
      <c r="P274" s="59">
        <f t="shared" si="14"/>
        <v>121.1588904857887</v>
      </c>
      <c r="Q274" s="38"/>
    </row>
    <row r="275" spans="1:17" ht="12" customHeight="1">
      <c r="A275" s="46">
        <f t="shared" si="12"/>
        <v>268</v>
      </c>
      <c r="B275" s="46" t="s">
        <v>574</v>
      </c>
      <c r="C275" s="46" t="s">
        <v>575</v>
      </c>
      <c r="D275" s="61" t="s">
        <v>70</v>
      </c>
      <c r="E275" s="61" t="s">
        <v>576</v>
      </c>
      <c r="F275" s="64">
        <v>100</v>
      </c>
      <c r="G275" s="64">
        <v>50</v>
      </c>
      <c r="H275" s="65">
        <f>IF(SIN(J275/$J$7)&gt;0,$J$7*ACOS((SIN(G275/$J$7)-SIN($D$4/$J$7)*K275)/(COS($D$4/$J$7)*SIN(L275/$J$7))),360-($J$7*ACOS((SIN(G275/$J$7)-SIN($D$4/$J$7)*K275)/(COS($D$4/$J$7)*SIN(L275/$J$7)))))</f>
        <v>24.772694727042154</v>
      </c>
      <c r="I275" s="66">
        <f>69.041*$J$7*(ACOS(SIN($D$4/$J$7)*SIN(G275/$J$7)+COS($D$4/$J$7)*COS(G275/$J$7)*COS(J275/$J$7)))</f>
        <v>1290.651425164653</v>
      </c>
      <c r="J275" s="63">
        <f>+$D$3-F275</f>
        <v>12.060000000000002</v>
      </c>
      <c r="K275" s="63">
        <f>SIN($D$4/$J$7)*SIN(G275/$J$7)+COS($D$4/$J$7)*COS(G275/$J$7)*COS(J275/$J$7)</f>
        <v>0.9472439304271334</v>
      </c>
      <c r="L275" s="63">
        <f t="shared" si="13"/>
        <v>18.69398509819749</v>
      </c>
      <c r="M275" s="67">
        <f>IF(SIN(N275/$J$7)&gt;0,$J$7*ACOS((SIN($D$4/$J$7)-SIN(G275/$J$7)*O275)/(COS(G275/$J$7)*SIN(P275/$J$7))),360-($J$7*ACOS((SIN($D$4/$J$7)-SIN(G275/$J$7)*O275)/(COS(G275/$J$7)*SIN(P275/$J$7)))))</f>
        <v>212.9070696028076</v>
      </c>
      <c r="N275" s="68">
        <f>+F275-$D$3</f>
        <v>-12.060000000000002</v>
      </c>
      <c r="O275" s="69">
        <f>SIN(G275/$J$7)*SIN($D$4/$J$7)+COS(G275/$J$7)*COS($D$4/$J$7)*COS(N275/$J$7)</f>
        <v>0.9472439304271334</v>
      </c>
      <c r="P275" s="59">
        <f t="shared" si="14"/>
        <v>18.69398509819749</v>
      </c>
      <c r="Q275" s="38"/>
    </row>
    <row r="276" spans="1:17" ht="12" customHeight="1">
      <c r="A276" s="46">
        <f t="shared" si="12"/>
        <v>269</v>
      </c>
      <c r="B276" s="46" t="s">
        <v>577</v>
      </c>
      <c r="C276" s="46" t="s">
        <v>578</v>
      </c>
      <c r="D276" s="61" t="s">
        <v>37</v>
      </c>
      <c r="E276" s="61" t="s">
        <v>579</v>
      </c>
      <c r="F276" s="64">
        <f>-130</f>
        <v>-130</v>
      </c>
      <c r="G276" s="64">
        <f>-30</f>
        <v>-30</v>
      </c>
      <c r="H276" s="65">
        <f>IF(SIN(J276/$J$7)&gt;0,$J$7*ACOS((SIN(G276/$J$7)-SIN($D$4/$J$7)*K276)/(COS($D$4/$J$7)*SIN(L276/$J$7))),360-($J$7*ACOS((SIN(G276/$J$7)-SIN($D$4/$J$7)*K276)/(COS($D$4/$J$7)*SIN(L276/$J$7)))))</f>
        <v>255.88094599687182</v>
      </c>
      <c r="I276" s="66">
        <f>69.041*$J$7*(ACOS(SIN($D$4/$J$7)*SIN(G276/$J$7)+COS($D$4/$J$7)*COS(G276/$J$7)*COS(J276/$J$7)))</f>
        <v>8831.447380227764</v>
      </c>
      <c r="J276" s="63">
        <f>+$D$3-F276</f>
        <v>242.06</v>
      </c>
      <c r="K276" s="63">
        <f>SIN($D$4/$J$7)*SIN(G276/$J$7)+COS($D$4/$J$7)*COS(G276/$J$7)*COS(J276/$J$7)</f>
        <v>-0.6145052955011976</v>
      </c>
      <c r="L276" s="63">
        <f t="shared" si="13"/>
        <v>127.91598296994201</v>
      </c>
      <c r="M276" s="67">
        <f>IF(SIN(N276/$J$7)&gt;0,$J$7*ACOS((SIN($D$4/$J$7)-SIN(G276/$J$7)*O276)/(COS(G276/$J$7)*SIN(P276/$J$7))),360-($J$7*ACOS((SIN($D$4/$J$7)-SIN(G276/$J$7)*O276)/(COS(G276/$J$7)*SIN(P276/$J$7)))))</f>
        <v>68.94894745263929</v>
      </c>
      <c r="N276" s="68">
        <f>+F276-$D$3</f>
        <v>-242.06</v>
      </c>
      <c r="O276" s="69">
        <f>SIN(G276/$J$7)*SIN($D$4/$J$7)+COS(G276/$J$7)*COS($D$4/$J$7)*COS(N276/$J$7)</f>
        <v>-0.6145052955011976</v>
      </c>
      <c r="P276" s="59">
        <f t="shared" si="14"/>
        <v>127.91598296994201</v>
      </c>
      <c r="Q276" s="38"/>
    </row>
    <row r="277" spans="1:17" ht="12" customHeight="1">
      <c r="A277" s="46">
        <f t="shared" si="12"/>
        <v>270</v>
      </c>
      <c r="B277" s="46" t="s">
        <v>580</v>
      </c>
      <c r="C277" s="46" t="s">
        <v>581</v>
      </c>
      <c r="D277" s="61" t="s">
        <v>37</v>
      </c>
      <c r="E277" s="61" t="s">
        <v>582</v>
      </c>
      <c r="F277" s="64">
        <f>-158.8</f>
        <v>-158.8</v>
      </c>
      <c r="G277" s="64">
        <f>-54.7</f>
        <v>-54.7</v>
      </c>
      <c r="H277" s="65">
        <f>IF(SIN(J277/$J$7)&gt;0,$J$7*ACOS((SIN(G277/$J$7)-SIN($D$4/$J$7)*K277)/(COS($D$4/$J$7)*SIN(L277/$J$7))),360-($J$7*ACOS((SIN(G277/$J$7)-SIN($D$4/$J$7)*K277)/(COS($D$4/$J$7)*SIN(L277/$J$7)))))</f>
        <v>220.1488071213325</v>
      </c>
      <c r="I277" s="66">
        <f>69.041*$J$7*(ACOS(SIN($D$4/$J$7)*SIN(G277/$J$7)+COS($D$4/$J$7)*COS(G277/$J$7)*COS(J277/$J$7)))</f>
        <v>8032.781765319154</v>
      </c>
      <c r="J277" s="63">
        <f>+$D$3-F277</f>
        <v>270.86</v>
      </c>
      <c r="K277" s="63">
        <f>SIN($D$4/$J$7)*SIN(G277/$J$7)+COS($D$4/$J$7)*COS(G277/$J$7)*COS(J277/$J$7)</f>
        <v>-0.44382196009531294</v>
      </c>
      <c r="L277" s="63">
        <f t="shared" si="13"/>
        <v>116.3479927190967</v>
      </c>
      <c r="M277" s="67">
        <f>IF(SIN(N277/$J$7)&gt;0,$J$7*ACOS((SIN($D$4/$J$7)-SIN(G277/$J$7)*O277)/(COS(G277/$J$7)*SIN(P277/$J$7))),360-($J$7*ACOS((SIN($D$4/$J$7)-SIN(G277/$J$7)*O277)/(COS(G277/$J$7)*SIN(P277/$J$7)))))</f>
        <v>68.42143029285735</v>
      </c>
      <c r="N277" s="68">
        <f>+F277-$D$3</f>
        <v>-270.86</v>
      </c>
      <c r="O277" s="69">
        <f>SIN(G277/$J$7)*SIN($D$4/$J$7)+COS(G277/$J$7)*COS($D$4/$J$7)*COS(N277/$J$7)</f>
        <v>-0.44382196009531294</v>
      </c>
      <c r="P277" s="59">
        <f t="shared" si="14"/>
        <v>116.3479927190967</v>
      </c>
      <c r="Q277" s="38"/>
    </row>
    <row r="278" spans="1:17" ht="12" customHeight="1">
      <c r="A278" s="46">
        <f t="shared" si="12"/>
        <v>271</v>
      </c>
      <c r="B278" s="46" t="s">
        <v>583</v>
      </c>
      <c r="C278" s="46" t="s">
        <v>584</v>
      </c>
      <c r="D278" s="61" t="s">
        <v>24</v>
      </c>
      <c r="E278" s="61" t="s">
        <v>27</v>
      </c>
      <c r="F278" s="64">
        <f>-73.4</f>
        <v>-73.4</v>
      </c>
      <c r="G278" s="64">
        <f>-53</f>
        <v>-53</v>
      </c>
      <c r="H278" s="65">
        <f>IF(SIN(J278/$J$7)&gt;0,$J$7*ACOS((SIN(G278/$J$7)-SIN($D$4/$J$7)*K278)/(COS($D$4/$J$7)*SIN(L278/$J$7))),360-($J$7*ACOS((SIN(G278/$J$7)-SIN($D$4/$J$7)*K278)/(COS($D$4/$J$7)*SIN(L278/$J$7)))))</f>
        <v>189.71451551970247</v>
      </c>
      <c r="I278" s="66">
        <f>69.041*$J$7*(ACOS(SIN($D$4/$J$7)*SIN(G278/$J$7)+COS($D$4/$J$7)*COS(G278/$J$7)*COS(J278/$J$7)))</f>
        <v>11057.755253511956</v>
      </c>
      <c r="J278" s="63">
        <f>+$D$3-F278</f>
        <v>185.46</v>
      </c>
      <c r="K278" s="63">
        <f>SIN($D$4/$J$7)*SIN(G278/$J$7)+COS($D$4/$J$7)*COS(G278/$J$7)*COS(J278/$J$7)</f>
        <v>-0.9406568128940993</v>
      </c>
      <c r="L278" s="63">
        <f t="shared" si="13"/>
        <v>160.16215369870014</v>
      </c>
      <c r="M278" s="67">
        <f>IF(SIN(N278/$J$7)&gt;0,$J$7*ACOS((SIN($D$4/$J$7)-SIN(G278/$J$7)*O278)/(COS(G278/$J$7)*SIN(P278/$J$7))),360-($J$7*ACOS((SIN($D$4/$J$7)-SIN(G278/$J$7)*O278)/(COS(G278/$J$7)*SIN(P278/$J$7)))))</f>
        <v>166.48659719641026</v>
      </c>
      <c r="N278" s="68">
        <f>+F278-$D$3</f>
        <v>-185.46</v>
      </c>
      <c r="O278" s="69">
        <f>SIN(G278/$J$7)*SIN($D$4/$J$7)+COS(G278/$J$7)*COS($D$4/$J$7)*COS(N278/$J$7)</f>
        <v>-0.9406568128940993</v>
      </c>
      <c r="P278" s="59">
        <f t="shared" si="14"/>
        <v>160.16215369870014</v>
      </c>
      <c r="Q278" s="38"/>
    </row>
    <row r="279" spans="1:17" ht="12" customHeight="1">
      <c r="A279" s="46">
        <f t="shared" si="12"/>
        <v>272</v>
      </c>
      <c r="B279" s="46" t="s">
        <v>585</v>
      </c>
      <c r="C279" s="46" t="s">
        <v>586</v>
      </c>
      <c r="D279" s="61" t="s">
        <v>37</v>
      </c>
      <c r="E279" s="61" t="s">
        <v>587</v>
      </c>
      <c r="F279" s="64">
        <f>-96.8</f>
        <v>-96.8</v>
      </c>
      <c r="G279" s="64">
        <f>-12.2</f>
        <v>-12.2</v>
      </c>
      <c r="H279" s="65">
        <f>IF(SIN(J279/$J$7)&gt;0,$J$7*ACOS((SIN(G279/$J$7)-SIN($D$4/$J$7)*K279)/(COS($D$4/$J$7)*SIN(L279/$J$7))),360-($J$7*ACOS((SIN(G279/$J$7)-SIN($D$4/$J$7)*K279)/(COS($D$4/$J$7)*SIN(L279/$J$7)))))</f>
        <v>302.1899695344078</v>
      </c>
      <c r="I279" s="66">
        <f>69.041*$J$7*(ACOS(SIN($D$4/$J$7)*SIN(G279/$J$7)+COS($D$4/$J$7)*COS(G279/$J$7)*COS(J279/$J$7)))</f>
        <v>10088.251323536524</v>
      </c>
      <c r="J279" s="63">
        <f>+$D$3-F279</f>
        <v>208.86</v>
      </c>
      <c r="K279" s="63">
        <f>SIN($D$4/$J$7)*SIN(G279/$J$7)+COS($D$4/$J$7)*COS(G279/$J$7)*COS(J279/$J$7)</f>
        <v>-0.8302041627018777</v>
      </c>
      <c r="L279" s="63">
        <f t="shared" si="13"/>
        <v>146.11971616194037</v>
      </c>
      <c r="M279" s="67">
        <f>IF(SIN(N279/$J$7)&gt;0,$J$7*ACOS((SIN($D$4/$J$7)-SIN(G279/$J$7)*O279)/(COS(G279/$J$7)*SIN(P279/$J$7))),360-($J$7*ACOS((SIN($D$4/$J$7)-SIN(G279/$J$7)*O279)/(COS(G279/$J$7)*SIN(P279/$J$7)))))</f>
        <v>46.18632025117044</v>
      </c>
      <c r="N279" s="68">
        <f>+F279-$D$3</f>
        <v>-208.86</v>
      </c>
      <c r="O279" s="69">
        <f>SIN(G279/$J$7)*SIN($D$4/$J$7)+COS(G279/$J$7)*COS($D$4/$J$7)*COS(N279/$J$7)</f>
        <v>-0.8302041627018777</v>
      </c>
      <c r="P279" s="59">
        <f t="shared" si="14"/>
        <v>146.11971616194037</v>
      </c>
      <c r="Q279" s="38"/>
    </row>
    <row r="280" spans="1:17" ht="12" customHeight="1">
      <c r="A280" s="46">
        <f t="shared" si="12"/>
        <v>273</v>
      </c>
      <c r="B280" s="46" t="s">
        <v>588</v>
      </c>
      <c r="C280" s="46" t="s">
        <v>589</v>
      </c>
      <c r="D280" s="61" t="s">
        <v>37</v>
      </c>
      <c r="E280" s="61" t="s">
        <v>582</v>
      </c>
      <c r="F280" s="64">
        <f>-159.1</f>
        <v>-159.1</v>
      </c>
      <c r="G280" s="64">
        <f>-31.6</f>
        <v>-31.6</v>
      </c>
      <c r="H280" s="65">
        <f>IF(SIN(J280/$J$7)&gt;0,$J$7*ACOS((SIN(G280/$J$7)-SIN($D$4/$J$7)*K280)/(COS($D$4/$J$7)*SIN(L280/$J$7))),360-($J$7*ACOS((SIN(G280/$J$7)-SIN($D$4/$J$7)*K280)/(COS($D$4/$J$7)*SIN(L280/$J$7)))))</f>
        <v>242.34504617852804</v>
      </c>
      <c r="I280" s="66">
        <f>69.041*$J$7*(ACOS(SIN($D$4/$J$7)*SIN(G280/$J$7)+COS($D$4/$J$7)*COS(G280/$J$7)*COS(J280/$J$7)))</f>
        <v>7316.621366199129</v>
      </c>
      <c r="J280" s="63">
        <f>+$D$3-F280</f>
        <v>271.15999999999997</v>
      </c>
      <c r="K280" s="63">
        <f>SIN($D$4/$J$7)*SIN(G280/$J$7)+COS($D$4/$J$7)*COS(G280/$J$7)*COS(J280/$J$7)</f>
        <v>-0.2752182381604299</v>
      </c>
      <c r="L280" s="63">
        <f t="shared" si="13"/>
        <v>105.97502015033282</v>
      </c>
      <c r="M280" s="67">
        <f>IF(SIN(N280/$J$7)&gt;0,$J$7*ACOS((SIN($D$4/$J$7)-SIN(G280/$J$7)*O280)/(COS(G280/$J$7)*SIN(P280/$J$7))),360-($J$7*ACOS((SIN($D$4/$J$7)-SIN(G280/$J$7)*O280)/(COS(G280/$J$7)*SIN(P280/$J$7)))))</f>
        <v>60.07780757685055</v>
      </c>
      <c r="N280" s="68">
        <f>+F280-$D$3</f>
        <v>-271.15999999999997</v>
      </c>
      <c r="O280" s="69">
        <f>SIN(G280/$J$7)*SIN($D$4/$J$7)+COS(G280/$J$7)*COS($D$4/$J$7)*COS(N280/$J$7)</f>
        <v>-0.2752182381604299</v>
      </c>
      <c r="P280" s="59">
        <f t="shared" si="14"/>
        <v>105.97502015033282</v>
      </c>
      <c r="Q280" s="38"/>
    </row>
    <row r="281" spans="1:17" ht="12" customHeight="1">
      <c r="A281" s="46">
        <f t="shared" si="12"/>
        <v>274</v>
      </c>
      <c r="B281" s="46" t="s">
        <v>590</v>
      </c>
      <c r="C281" s="46" t="s">
        <v>591</v>
      </c>
      <c r="D281" s="61" t="s">
        <v>37</v>
      </c>
      <c r="E281" s="61" t="s">
        <v>582</v>
      </c>
      <c r="F281" s="64">
        <f>-155.8</f>
        <v>-155.8</v>
      </c>
      <c r="G281" s="64">
        <f>-17.6</f>
        <v>-17.6</v>
      </c>
      <c r="H281" s="65">
        <f>IF(SIN(J281/$J$7)&gt;0,$J$7*ACOS((SIN(G281/$J$7)-SIN($D$4/$J$7)*K281)/(COS($D$4/$J$7)*SIN(L281/$J$7))),360-($J$7*ACOS((SIN(G281/$J$7)-SIN($D$4/$J$7)*K281)/(COS($D$4/$J$7)*SIN(L281/$J$7)))))</f>
        <v>256.292947261142</v>
      </c>
      <c r="I281" s="66">
        <f>69.041*$J$7*(ACOS(SIN($D$4/$J$7)*SIN(G281/$J$7)+COS($D$4/$J$7)*COS(G281/$J$7)*COS(J281/$J$7)))</f>
        <v>6997.188300650797</v>
      </c>
      <c r="J281" s="63">
        <f>+$D$3-F281</f>
        <v>267.86</v>
      </c>
      <c r="K281" s="63">
        <f>SIN($D$4/$J$7)*SIN(G281/$J$7)+COS($D$4/$J$7)*COS(G281/$J$7)*COS(J281/$J$7)</f>
        <v>-0.19677280622287616</v>
      </c>
      <c r="L281" s="63">
        <f t="shared" si="13"/>
        <v>101.34830464000807</v>
      </c>
      <c r="M281" s="67">
        <f>IF(SIN(N281/$J$7)&gt;0,$J$7*ACOS((SIN($D$4/$J$7)-SIN(G281/$J$7)*O281)/(COS(G281/$J$7)*SIN(P281/$J$7))),360-($J$7*ACOS((SIN($D$4/$J$7)-SIN(G281/$J$7)*O281)/(COS(G281/$J$7)*SIN(P281/$J$7)))))</f>
        <v>58.14969566505718</v>
      </c>
      <c r="N281" s="68">
        <f>+F281-$D$3</f>
        <v>-267.86</v>
      </c>
      <c r="O281" s="69">
        <f>SIN(G281/$J$7)*SIN($D$4/$J$7)+COS(G281/$J$7)*COS($D$4/$J$7)*COS(N281/$J$7)</f>
        <v>-0.19677280622287616</v>
      </c>
      <c r="P281" s="59">
        <f t="shared" si="14"/>
        <v>101.34830464000807</v>
      </c>
      <c r="Q281" s="38"/>
    </row>
    <row r="282" spans="1:17" ht="12" customHeight="1">
      <c r="A282" s="46">
        <f t="shared" si="12"/>
        <v>275</v>
      </c>
      <c r="B282" s="46" t="s">
        <v>592</v>
      </c>
      <c r="C282" s="46" t="s">
        <v>593</v>
      </c>
      <c r="D282" s="61" t="s">
        <v>37</v>
      </c>
      <c r="E282" s="61" t="s">
        <v>38</v>
      </c>
      <c r="F282" s="64">
        <f>-168</f>
        <v>-168</v>
      </c>
      <c r="G282" s="64">
        <f>-29</f>
        <v>-29</v>
      </c>
      <c r="H282" s="65">
        <f>IF(SIN(J282/$J$7)&gt;0,$J$7*ACOS((SIN(G282/$J$7)-SIN($D$4/$J$7)*K282)/(COS($D$4/$J$7)*SIN(L282/$J$7))),360-($J$7*ACOS((SIN(G282/$J$7)-SIN($D$4/$J$7)*K282)/(COS($D$4/$J$7)*SIN(L282/$J$7)))))</f>
        <v>240.43708579173</v>
      </c>
      <c r="I282" s="66">
        <f>69.041*$J$7*(ACOS(SIN($D$4/$J$7)*SIN(G282/$J$7)+COS($D$4/$J$7)*COS(G282/$J$7)*COS(J282/$J$7)))</f>
        <v>6771.763529678543</v>
      </c>
      <c r="J282" s="63">
        <f>+$D$3-F282</f>
        <v>280.06</v>
      </c>
      <c r="K282" s="63">
        <f>SIN($D$4/$J$7)*SIN(G282/$J$7)+COS($D$4/$J$7)*COS(G282/$J$7)*COS(J282/$J$7)</f>
        <v>-0.14061126578148397</v>
      </c>
      <c r="L282" s="63">
        <f t="shared" si="13"/>
        <v>98.08321909703716</v>
      </c>
      <c r="M282" s="67">
        <f>IF(SIN(N282/$J$7)&gt;0,$J$7*ACOS((SIN($D$4/$J$7)-SIN(G282/$J$7)*O282)/(COS(G282/$J$7)*SIN(P282/$J$7))),360-($J$7*ACOS((SIN($D$4/$J$7)-SIN(G282/$J$7)*O282)/(COS(G282/$J$7)*SIN(P282/$J$7)))))</f>
        <v>55.97823035221467</v>
      </c>
      <c r="N282" s="68">
        <f>+F282-$D$3</f>
        <v>-280.06</v>
      </c>
      <c r="O282" s="69">
        <f>SIN(G282/$J$7)*SIN($D$4/$J$7)+COS(G282/$J$7)*COS($D$4/$J$7)*COS(N282/$J$7)</f>
        <v>-0.14061126578148397</v>
      </c>
      <c r="P282" s="59">
        <f t="shared" si="14"/>
        <v>98.08321909703716</v>
      </c>
      <c r="Q282" s="38"/>
    </row>
    <row r="283" spans="1:17" ht="12" customHeight="1">
      <c r="A283" s="46">
        <f t="shared" si="12"/>
        <v>276</v>
      </c>
      <c r="B283" s="46" t="s">
        <v>594</v>
      </c>
      <c r="C283" s="46" t="s">
        <v>595</v>
      </c>
      <c r="D283" s="61" t="s">
        <v>37</v>
      </c>
      <c r="E283" s="61" t="s">
        <v>582</v>
      </c>
      <c r="F283" s="64">
        <f>-149.5</f>
        <v>-149.5</v>
      </c>
      <c r="G283" s="64">
        <f>-16</f>
        <v>-16</v>
      </c>
      <c r="H283" s="65">
        <f>IF(SIN(J283/$J$7)&gt;0,$J$7*ACOS((SIN(G283/$J$7)-SIN($D$4/$J$7)*K283)/(COS($D$4/$J$7)*SIN(L283/$J$7))),360-($J$7*ACOS((SIN(G283/$J$7)-SIN($D$4/$J$7)*K283)/(COS($D$4/$J$7)*SIN(L283/$J$7)))))</f>
        <v>260.9328284826905</v>
      </c>
      <c r="I283" s="66">
        <f>69.041*$J$7*(ACOS(SIN($D$4/$J$7)*SIN(G283/$J$7)+COS($D$4/$J$7)*COS(G283/$J$7)*COS(J283/$J$7)))</f>
        <v>7294.830392804821</v>
      </c>
      <c r="J283" s="63">
        <f>+$D$3-F283</f>
        <v>261.56</v>
      </c>
      <c r="K283" s="63">
        <f>SIN($D$4/$J$7)*SIN(G283/$J$7)+COS($D$4/$J$7)*COS(G283/$J$7)*COS(J283/$J$7)</f>
        <v>-0.26991815213460335</v>
      </c>
      <c r="L283" s="63">
        <f t="shared" si="13"/>
        <v>105.65939648621574</v>
      </c>
      <c r="M283" s="67">
        <f>IF(SIN(N283/$J$7)&gt;0,$J$7*ACOS((SIN($D$4/$J$7)-SIN(G283/$J$7)*O283)/(COS(G283/$J$7)*SIN(P283/$J$7))),360-($J$7*ACOS((SIN($D$4/$J$7)-SIN(G283/$J$7)*O283)/(COS(G283/$J$7)*SIN(P283/$J$7)))))</f>
        <v>58.88766707122948</v>
      </c>
      <c r="N283" s="68">
        <f>+F283-$D$3</f>
        <v>-261.56</v>
      </c>
      <c r="O283" s="69">
        <f>SIN(G283/$J$7)*SIN($D$4/$J$7)+COS(G283/$J$7)*COS($D$4/$J$7)*COS(N283/$J$7)</f>
        <v>-0.26991815213460335</v>
      </c>
      <c r="P283" s="59">
        <f t="shared" si="14"/>
        <v>105.65939648621574</v>
      </c>
      <c r="Q283" s="38"/>
    </row>
    <row r="284" spans="1:17" ht="12" customHeight="1">
      <c r="A284" s="46">
        <f t="shared" si="12"/>
        <v>277</v>
      </c>
      <c r="B284" s="46" t="s">
        <v>596</v>
      </c>
      <c r="C284" s="46" t="s">
        <v>597</v>
      </c>
      <c r="D284" s="61" t="s">
        <v>37</v>
      </c>
      <c r="E284" s="61" t="s">
        <v>582</v>
      </c>
      <c r="F284" s="64">
        <f>-105.7</f>
        <v>-105.7</v>
      </c>
      <c r="G284" s="64">
        <f>-10.5</f>
        <v>-10.5</v>
      </c>
      <c r="H284" s="65">
        <f>IF(SIN(J284/$J$7)&gt;0,$J$7*ACOS((SIN(G284/$J$7)-SIN($D$4/$J$7)*K284)/(COS($D$4/$J$7)*SIN(L284/$J$7))),360-($J$7*ACOS((SIN(G284/$J$7)-SIN($D$4/$J$7)*K284)/(COS($D$4/$J$7)*SIN(L284/$J$7)))))</f>
        <v>294.76273575621747</v>
      </c>
      <c r="I284" s="66">
        <f>69.041*$J$7*(ACOS(SIN($D$4/$J$7)*SIN(G284/$J$7)+COS($D$4/$J$7)*COS(G284/$J$7)*COS(J284/$J$7)))</f>
        <v>9559.798143891185</v>
      </c>
      <c r="J284" s="63">
        <f>+$D$3-F284</f>
        <v>217.76</v>
      </c>
      <c r="K284" s="63">
        <f>SIN($D$4/$J$7)*SIN(G284/$J$7)+COS($D$4/$J$7)*COS(G284/$J$7)*COS(J284/$J$7)</f>
        <v>-0.7485568571556592</v>
      </c>
      <c r="L284" s="63">
        <f t="shared" si="13"/>
        <v>138.46552257196717</v>
      </c>
      <c r="M284" s="67">
        <f>IF(SIN(N284/$J$7)&gt;0,$J$7*ACOS((SIN($D$4/$J$7)-SIN(G284/$J$7)*O284)/(COS(G284/$J$7)*SIN(P284/$J$7))),360-($J$7*ACOS((SIN($D$4/$J$7)-SIN(G284/$J$7)*O284)/(COS(G284/$J$7)*SIN(P284/$J$7)))))</f>
        <v>50.32340974891368</v>
      </c>
      <c r="N284" s="68">
        <f>+F284-$D$3</f>
        <v>-217.76</v>
      </c>
      <c r="O284" s="69">
        <f>SIN(G284/$J$7)*SIN($D$4/$J$7)+COS(G284/$J$7)*COS($D$4/$J$7)*COS(N284/$J$7)</f>
        <v>-0.7485568571556592</v>
      </c>
      <c r="P284" s="59">
        <f t="shared" si="14"/>
        <v>138.46552257196717</v>
      </c>
      <c r="Q284" s="38"/>
    </row>
    <row r="285" spans="1:17" ht="12" customHeight="1">
      <c r="A285" s="46">
        <f t="shared" si="12"/>
        <v>278</v>
      </c>
      <c r="B285" s="46" t="s">
        <v>598</v>
      </c>
      <c r="C285" s="46" t="s">
        <v>599</v>
      </c>
      <c r="D285" s="61" t="s">
        <v>70</v>
      </c>
      <c r="E285" s="61" t="s">
        <v>105</v>
      </c>
      <c r="F285" s="64">
        <v>63</v>
      </c>
      <c r="G285" s="64">
        <v>18.3</v>
      </c>
      <c r="H285" s="65">
        <f>IF(SIN(J285/$J$7)&gt;0,$J$7*ACOS((SIN(G285/$J$7)-SIN($D$4/$J$7)*K285)/(COS($D$4/$J$7)*SIN(L285/$J$7))),360-($J$7*ACOS((SIN(G285/$J$7)-SIN($D$4/$J$7)*K285)/(COS($D$4/$J$7)*SIN(L285/$J$7)))))</f>
        <v>96.53406951132352</v>
      </c>
      <c r="I285" s="66">
        <f>69.041*$J$7*(ACOS(SIN($D$4/$J$7)*SIN(G285/$J$7)+COS($D$4/$J$7)*COS(G285/$J$7)*COS(J285/$J$7)))</f>
        <v>3190.3871635896894</v>
      </c>
      <c r="J285" s="63">
        <f>+$D$3-F285</f>
        <v>49.06</v>
      </c>
      <c r="K285" s="63">
        <f>SIN($D$4/$J$7)*SIN(G285/$J$7)+COS($D$4/$J$7)*COS(G285/$J$7)*COS(J285/$J$7)</f>
        <v>0.6920167264038589</v>
      </c>
      <c r="L285" s="63">
        <f t="shared" si="13"/>
        <v>46.2100369865687</v>
      </c>
      <c r="M285" s="67">
        <f>IF(SIN(N285/$J$7)&gt;0,$J$7*ACOS((SIN($D$4/$J$7)-SIN(G285/$J$7)*O285)/(COS(G285/$J$7)*SIN(P285/$J$7))),360-($J$7*ACOS((SIN($D$4/$J$7)-SIN(G285/$J$7)*O285)/(COS(G285/$J$7)*SIN(P285/$J$7)))))</f>
        <v>299.2968457999982</v>
      </c>
      <c r="N285" s="68">
        <f>+F285-$D$3</f>
        <v>-49.06</v>
      </c>
      <c r="O285" s="69">
        <f>SIN(G285/$J$7)*SIN($D$4/$J$7)+COS(G285/$J$7)*COS($D$4/$J$7)*COS(N285/$J$7)</f>
        <v>0.6920167264038589</v>
      </c>
      <c r="P285" s="59">
        <f t="shared" si="14"/>
        <v>46.2100369865687</v>
      </c>
      <c r="Q285" s="38"/>
    </row>
    <row r="286" spans="1:17" ht="12" customHeight="1">
      <c r="A286" s="46">
        <f t="shared" si="12"/>
        <v>279</v>
      </c>
      <c r="B286" s="46" t="s">
        <v>600</v>
      </c>
      <c r="C286" s="46" t="s">
        <v>601</v>
      </c>
      <c r="D286" s="61" t="s">
        <v>70</v>
      </c>
      <c r="E286" s="61" t="s">
        <v>105</v>
      </c>
      <c r="F286" s="64">
        <v>62.2</v>
      </c>
      <c r="G286" s="64">
        <v>16.8</v>
      </c>
      <c r="H286" s="65">
        <f>IF(SIN(J286/$J$7)&gt;0,$J$7*ACOS((SIN(G286/$J$7)-SIN($D$4/$J$7)*K286)/(COS($D$4/$J$7)*SIN(L286/$J$7))),360-($J$7*ACOS((SIN(G286/$J$7)-SIN($D$4/$J$7)*K286)/(COS($D$4/$J$7)*SIN(L286/$J$7)))))</f>
        <v>97.79560529007816</v>
      </c>
      <c r="I286" s="66">
        <f>69.041*$J$7*(ACOS(SIN($D$4/$J$7)*SIN(G286/$J$7)+COS($D$4/$J$7)*COS(G286/$J$7)*COS(J286/$J$7)))</f>
        <v>3287.6117458863937</v>
      </c>
      <c r="J286" s="63">
        <f>+$D$3-F286</f>
        <v>49.86</v>
      </c>
      <c r="K286" s="63">
        <f>SIN($D$4/$J$7)*SIN(G286/$J$7)+COS($D$4/$J$7)*COS(G286/$J$7)*COS(J286/$J$7)</f>
        <v>0.674067111106325</v>
      </c>
      <c r="L286" s="63">
        <f t="shared" si="13"/>
        <v>47.61825213838724</v>
      </c>
      <c r="M286" s="67">
        <f>IF(SIN(N286/$J$7)&gt;0,$J$7*ACOS((SIN($D$4/$J$7)-SIN(G286/$J$7)*O286)/(COS(G286/$J$7)*SIN(P286/$J$7))),360-($J$7*ACOS((SIN($D$4/$J$7)-SIN(G286/$J$7)*O286)/(COS(G286/$J$7)*SIN(P286/$J$7)))))</f>
        <v>300.3999309306056</v>
      </c>
      <c r="N286" s="68">
        <f>+F286-$D$3</f>
        <v>-49.86</v>
      </c>
      <c r="O286" s="69">
        <f>SIN(G286/$J$7)*SIN($D$4/$J$7)+COS(G286/$J$7)*COS($D$4/$J$7)*COS(N286/$J$7)</f>
        <v>0.674067111106325</v>
      </c>
      <c r="P286" s="59">
        <f t="shared" si="14"/>
        <v>47.61825213838724</v>
      </c>
      <c r="Q286" s="38"/>
    </row>
    <row r="287" spans="1:17" ht="12" customHeight="1">
      <c r="A287" s="46">
        <f t="shared" si="12"/>
        <v>280</v>
      </c>
      <c r="B287" s="46" t="s">
        <v>602</v>
      </c>
      <c r="C287" s="46" t="s">
        <v>603</v>
      </c>
      <c r="D287" s="61" t="s">
        <v>70</v>
      </c>
      <c r="E287" s="61" t="s">
        <v>105</v>
      </c>
      <c r="F287" s="64">
        <v>64.6</v>
      </c>
      <c r="G287" s="64">
        <v>18.4</v>
      </c>
      <c r="H287" s="65">
        <f>IF(SIN(J287/$J$7)&gt;0,$J$7*ACOS((SIN(G287/$J$7)-SIN($D$4/$J$7)*K287)/(COS($D$4/$J$7)*SIN(L287/$J$7))),360-($J$7*ACOS((SIN(G287/$J$7)-SIN($D$4/$J$7)*K287)/(COS($D$4/$J$7)*SIN(L287/$J$7)))))</f>
        <v>97.45567987687964</v>
      </c>
      <c r="I287" s="66">
        <f>69.041*$J$7*(ACOS(SIN($D$4/$J$7)*SIN(G287/$J$7)+COS($D$4/$J$7)*COS(G287/$J$7)*COS(J287/$J$7)))</f>
        <v>3095.624888720604</v>
      </c>
      <c r="J287" s="63">
        <f>+$D$3-F287</f>
        <v>47.46000000000001</v>
      </c>
      <c r="K287" s="63">
        <f>SIN($D$4/$J$7)*SIN(G287/$J$7)+COS($D$4/$J$7)*COS(G287/$J$7)*COS(J287/$J$7)</f>
        <v>0.709109571694909</v>
      </c>
      <c r="L287" s="63">
        <f t="shared" si="13"/>
        <v>44.83748625773966</v>
      </c>
      <c r="M287" s="67">
        <f>IF(SIN(N287/$J$7)&gt;0,$J$7*ACOS((SIN($D$4/$J$7)-SIN(G287/$J$7)*O287)/(COS(G287/$J$7)*SIN(P287/$J$7))),360-($J$7*ACOS((SIN($D$4/$J$7)-SIN(G287/$J$7)*O287)/(COS(G287/$J$7)*SIN(P287/$J$7)))))</f>
        <v>299.43884871587727</v>
      </c>
      <c r="N287" s="68">
        <f>+F287-$D$3</f>
        <v>-47.46000000000001</v>
      </c>
      <c r="O287" s="69">
        <f>SIN(G287/$J$7)*SIN($D$4/$J$7)+COS(G287/$J$7)*COS($D$4/$J$7)*COS(N287/$J$7)</f>
        <v>0.709109571694909</v>
      </c>
      <c r="P287" s="59">
        <f t="shared" si="14"/>
        <v>44.83748625773966</v>
      </c>
      <c r="Q287" s="38"/>
    </row>
    <row r="288" spans="1:17" ht="12" customHeight="1">
      <c r="A288" s="46">
        <f t="shared" si="12"/>
        <v>281</v>
      </c>
      <c r="B288" s="46" t="s">
        <v>604</v>
      </c>
      <c r="C288" s="46" t="s">
        <v>605</v>
      </c>
      <c r="D288" s="61" t="s">
        <v>70</v>
      </c>
      <c r="E288" s="61" t="s">
        <v>105</v>
      </c>
      <c r="F288" s="64">
        <v>72</v>
      </c>
      <c r="G288" s="64">
        <v>22</v>
      </c>
      <c r="H288" s="65">
        <f>IF(SIN(J288/$J$7)&gt;0,$J$7*ACOS((SIN(G288/$J$7)-SIN($D$4/$J$7)*K288)/(COS($D$4/$J$7)*SIN(L288/$J$7))),360-($J$7*ACOS((SIN(G288/$J$7)-SIN($D$4/$J$7)*K288)/(COS($D$4/$J$7)*SIN(L288/$J$7)))))</f>
        <v>97.63525795996618</v>
      </c>
      <c r="I288" s="66">
        <f>69.041*$J$7*(ACOS(SIN($D$4/$J$7)*SIN(G288/$J$7)+COS($D$4/$J$7)*COS(G288/$J$7)*COS(J288/$J$7)))</f>
        <v>2555.748729794219</v>
      </c>
      <c r="J288" s="63">
        <f>+$D$3-F288</f>
        <v>40.06</v>
      </c>
      <c r="K288" s="63">
        <f>SIN($D$4/$J$7)*SIN(G288/$J$7)+COS($D$4/$J$7)*COS(G288/$J$7)*COS(J288/$J$7)</f>
        <v>0.7984480803183075</v>
      </c>
      <c r="L288" s="63">
        <f t="shared" si="13"/>
        <v>37.01784055552815</v>
      </c>
      <c r="M288" s="67">
        <f>IF(SIN(N288/$J$7)&gt;0,$J$7*ACOS((SIN($D$4/$J$7)-SIN(G288/$J$7)*O288)/(COS(G288/$J$7)*SIN(P288/$J$7))),360-($J$7*ACOS((SIN($D$4/$J$7)-SIN(G288/$J$7)*O288)/(COS(G288/$J$7)*SIN(P288/$J$7)))))</f>
        <v>297.0152412367945</v>
      </c>
      <c r="N288" s="68">
        <f>+F288-$D$3</f>
        <v>-40.06</v>
      </c>
      <c r="O288" s="69">
        <f>SIN(G288/$J$7)*SIN($D$4/$J$7)+COS(G288/$J$7)*COS($D$4/$J$7)*COS(N288/$J$7)</f>
        <v>0.7984480803183075</v>
      </c>
      <c r="P288" s="59">
        <f t="shared" si="14"/>
        <v>37.01784055552815</v>
      </c>
      <c r="Q288" s="38"/>
    </row>
    <row r="289" spans="1:17" ht="12" customHeight="1">
      <c r="A289" s="46">
        <f t="shared" si="12"/>
        <v>282</v>
      </c>
      <c r="B289" s="46" t="s">
        <v>606</v>
      </c>
      <c r="C289" s="46" t="s">
        <v>607</v>
      </c>
      <c r="D289" s="61" t="s">
        <v>118</v>
      </c>
      <c r="E289" s="61" t="s">
        <v>212</v>
      </c>
      <c r="F289" s="64">
        <v>60</v>
      </c>
      <c r="G289" s="64">
        <f>-52</f>
        <v>-52</v>
      </c>
      <c r="H289" s="65">
        <f>IF(SIN(J289/$J$7)&gt;0,$J$7*ACOS((SIN(G289/$J$7)-SIN($D$4/$J$7)*K289)/(COS($D$4/$J$7)*SIN(L289/$J$7))),360-($J$7*ACOS((SIN(G289/$J$7)-SIN($D$4/$J$7)*K289)/(COS($D$4/$J$7)*SIN(L289/$J$7)))))</f>
        <v>150.7198144782142</v>
      </c>
      <c r="I289" s="66">
        <f>69.041*$J$7*(ACOS(SIN($D$4/$J$7)*SIN(G289/$J$7)+COS($D$4/$J$7)*COS(G289/$J$7)*COS(J289/$J$7)))</f>
        <v>6689.673198148592</v>
      </c>
      <c r="J289" s="63">
        <f>+$D$3-F289</f>
        <v>52.06</v>
      </c>
      <c r="K289" s="63">
        <f>SIN($D$4/$J$7)*SIN(G289/$J$7)+COS($D$4/$J$7)*COS(G289/$J$7)*COS(J289/$J$7)</f>
        <v>-0.1200365269900951</v>
      </c>
      <c r="L289" s="63">
        <f t="shared" si="13"/>
        <v>96.89421065958767</v>
      </c>
      <c r="M289" s="67">
        <f>IF(SIN(N289/$J$7)&gt;0,$J$7*ACOS((SIN($D$4/$J$7)-SIN(G289/$J$7)*O289)/(COS(G289/$J$7)*SIN(P289/$J$7))),360-($J$7*ACOS((SIN($D$4/$J$7)-SIN(G289/$J$7)*O289)/(COS(G289/$J$7)*SIN(P289/$J$7)))))</f>
        <v>318.5432006648538</v>
      </c>
      <c r="N289" s="68">
        <f>+F289-$D$3</f>
        <v>-52.06</v>
      </c>
      <c r="O289" s="69">
        <f>SIN(G289/$J$7)*SIN($D$4/$J$7)+COS(G289/$J$7)*COS($D$4/$J$7)*COS(N289/$J$7)</f>
        <v>-0.1200365269900951</v>
      </c>
      <c r="P289" s="59">
        <f t="shared" si="14"/>
        <v>96.89421065958767</v>
      </c>
      <c r="Q289" s="38"/>
    </row>
    <row r="290" spans="1:17" ht="12" customHeight="1">
      <c r="A290" s="46">
        <f t="shared" si="12"/>
        <v>283</v>
      </c>
      <c r="B290" s="46" t="s">
        <v>608</v>
      </c>
      <c r="C290" s="46" t="s">
        <v>609</v>
      </c>
      <c r="D290" s="61" t="s">
        <v>118</v>
      </c>
      <c r="E290" s="61" t="s">
        <v>212</v>
      </c>
      <c r="F290" s="64">
        <v>37</v>
      </c>
      <c r="G290" s="64">
        <f>-54</f>
        <v>-54</v>
      </c>
      <c r="H290" s="65">
        <f>IF(SIN(J290/$J$7)&gt;0,$J$7*ACOS((SIN(G290/$J$7)-SIN($D$4/$J$7)*K290)/(COS($D$4/$J$7)*SIN(L290/$J$7))),360-($J$7*ACOS((SIN(G290/$J$7)-SIN($D$4/$J$7)*K290)/(COS($D$4/$J$7)*SIN(L290/$J$7)))))</f>
        <v>143.15786259554662</v>
      </c>
      <c r="I290" s="66">
        <f>69.041*$J$7*(ACOS(SIN($D$4/$J$7)*SIN(G290/$J$7)+COS($D$4/$J$7)*COS(G290/$J$7)*COS(J290/$J$7)))</f>
        <v>7505.641234029489</v>
      </c>
      <c r="J290" s="63">
        <f>+$D$3-F290</f>
        <v>75.06</v>
      </c>
      <c r="K290" s="63">
        <f>SIN($D$4/$J$7)*SIN(G290/$J$7)+COS($D$4/$J$7)*COS(G290/$J$7)*COS(J290/$J$7)</f>
        <v>-0.32082478514652785</v>
      </c>
      <c r="L290" s="63">
        <f t="shared" si="13"/>
        <v>108.71281172099896</v>
      </c>
      <c r="M290" s="67">
        <f>IF(SIN(N290/$J$7)&gt;0,$J$7*ACOS((SIN($D$4/$J$7)-SIN(G290/$J$7)*O290)/(COS(G290/$J$7)*SIN(P290/$J$7))),360-($J$7*ACOS((SIN($D$4/$J$7)-SIN(G290/$J$7)*O290)/(COS(G290/$J$7)*SIN(P290/$J$7)))))</f>
        <v>301.7694968211704</v>
      </c>
      <c r="N290" s="68">
        <f>+F290-$D$3</f>
        <v>-75.06</v>
      </c>
      <c r="O290" s="69">
        <f>SIN(G290/$J$7)*SIN($D$4/$J$7)+COS(G290/$J$7)*COS($D$4/$J$7)*COS(N290/$J$7)</f>
        <v>-0.32082478514652785</v>
      </c>
      <c r="P290" s="59">
        <f t="shared" si="14"/>
        <v>108.71281172099896</v>
      </c>
      <c r="Q290" s="38"/>
    </row>
    <row r="291" spans="1:17" ht="12" customHeight="1">
      <c r="A291" s="46">
        <f t="shared" si="12"/>
        <v>284</v>
      </c>
      <c r="B291" s="46" t="s">
        <v>610</v>
      </c>
      <c r="C291" s="46" t="s">
        <v>611</v>
      </c>
      <c r="D291" s="61" t="s">
        <v>118</v>
      </c>
      <c r="E291" s="61" t="s">
        <v>212</v>
      </c>
      <c r="F291" s="64">
        <v>58.5</v>
      </c>
      <c r="G291" s="64">
        <f>-62</f>
        <v>-62</v>
      </c>
      <c r="H291" s="65">
        <f>IF(SIN(J291/$J$7)&gt;0,$J$7*ACOS((SIN(G291/$J$7)-SIN($D$4/$J$7)*K291)/(COS($D$4/$J$7)*SIN(L291/$J$7))),360-($J$7*ACOS((SIN(G291/$J$7)-SIN($D$4/$J$7)*K291)/(COS($D$4/$J$7)*SIN(L291/$J$7)))))</f>
        <v>157.00480710214524</v>
      </c>
      <c r="I291" s="66">
        <f>69.041*$J$7*(ACOS(SIN($D$4/$J$7)*SIN(G291/$J$7)+COS($D$4/$J$7)*COS(G291/$J$7)*COS(J291/$J$7)))</f>
        <v>7236.018433823566</v>
      </c>
      <c r="J291" s="63">
        <f>+$D$3-F291</f>
        <v>53.56</v>
      </c>
      <c r="K291" s="63">
        <f>SIN($D$4/$J$7)*SIN(G291/$J$7)+COS($D$4/$J$7)*COS(G291/$J$7)*COS(J291/$J$7)</f>
        <v>-0.25557324778853296</v>
      </c>
      <c r="L291" s="63">
        <f t="shared" si="13"/>
        <v>104.8075554210334</v>
      </c>
      <c r="M291" s="67">
        <f>IF(SIN(N291/$J$7)&gt;0,$J$7*ACOS((SIN($D$4/$J$7)-SIN(G291/$J$7)*O291)/(COS(G291/$J$7)*SIN(P291/$J$7))),360-($J$7*ACOS((SIN($D$4/$J$7)-SIN(G291/$J$7)*O291)/(COS(G291/$J$7)*SIN(P291/$J$7)))))</f>
        <v>316.09322101793896</v>
      </c>
      <c r="N291" s="68">
        <f>+F291-$D$3</f>
        <v>-53.56</v>
      </c>
      <c r="O291" s="69">
        <f>SIN(G291/$J$7)*SIN($D$4/$J$7)+COS(G291/$J$7)*COS($D$4/$J$7)*COS(N291/$J$7)</f>
        <v>-0.25557324778853296</v>
      </c>
      <c r="P291" s="59">
        <f t="shared" si="14"/>
        <v>104.8075554210334</v>
      </c>
      <c r="Q291" s="38"/>
    </row>
    <row r="292" spans="1:17" ht="12" customHeight="1">
      <c r="A292" s="46">
        <f t="shared" si="12"/>
        <v>285</v>
      </c>
      <c r="B292" s="46" t="s">
        <v>612</v>
      </c>
      <c r="C292" s="46" t="s">
        <v>613</v>
      </c>
      <c r="D292" s="61" t="s">
        <v>118</v>
      </c>
      <c r="E292" s="61" t="s">
        <v>212</v>
      </c>
      <c r="F292" s="64">
        <v>46</v>
      </c>
      <c r="G292" s="64">
        <f>-60</f>
        <v>-60</v>
      </c>
      <c r="H292" s="65">
        <f>IF(SIN(J292/$J$7)&gt;0,$J$7*ACOS((SIN(G292/$J$7)-SIN($D$4/$J$7)*K292)/(COS($D$4/$J$7)*SIN(L292/$J$7))),360-($J$7*ACOS((SIN(G292/$J$7)-SIN($D$4/$J$7)*K292)/(COS($D$4/$J$7)*SIN(L292/$J$7)))))</f>
        <v>151.2762130161862</v>
      </c>
      <c r="I292" s="66">
        <f>69.041*$J$7*(ACOS(SIN($D$4/$J$7)*SIN(G292/$J$7)+COS($D$4/$J$7)*COS(G292/$J$7)*COS(J292/$J$7)))</f>
        <v>7458.57139674846</v>
      </c>
      <c r="J292" s="63">
        <f>+$D$3-F292</f>
        <v>66.06</v>
      </c>
      <c r="K292" s="63">
        <f>SIN($D$4/$J$7)*SIN(G292/$J$7)+COS($D$4/$J$7)*COS(G292/$J$7)*COS(J292/$J$7)</f>
        <v>-0.30953227158502716</v>
      </c>
      <c r="L292" s="63">
        <f t="shared" si="13"/>
        <v>108.0310452738005</v>
      </c>
      <c r="M292" s="67">
        <f>IF(SIN(N292/$J$7)&gt;0,$J$7*ACOS((SIN($D$4/$J$7)-SIN(G292/$J$7)*O292)/(COS(G292/$J$7)*SIN(P292/$J$7))),360-($J$7*ACOS((SIN($D$4/$J$7)-SIN(G292/$J$7)*O292)/(COS(G292/$J$7)*SIN(P292/$J$7)))))</f>
        <v>306.7697871659754</v>
      </c>
      <c r="N292" s="68">
        <f>+F292-$D$3</f>
        <v>-66.06</v>
      </c>
      <c r="O292" s="69">
        <f>SIN(G292/$J$7)*SIN($D$4/$J$7)+COS(G292/$J$7)*COS($D$4/$J$7)*COS(N292/$J$7)</f>
        <v>-0.30953227158502716</v>
      </c>
      <c r="P292" s="59">
        <f t="shared" si="14"/>
        <v>108.0310452738005</v>
      </c>
      <c r="Q292" s="38"/>
    </row>
    <row r="293" spans="1:17" ht="12" customHeight="1">
      <c r="A293" s="46">
        <f t="shared" si="12"/>
        <v>286</v>
      </c>
      <c r="B293" s="46" t="s">
        <v>614</v>
      </c>
      <c r="C293" s="46" t="s">
        <v>615</v>
      </c>
      <c r="D293" s="61" t="s">
        <v>118</v>
      </c>
      <c r="E293" s="61" t="s">
        <v>212</v>
      </c>
      <c r="F293" s="64">
        <v>28</v>
      </c>
      <c r="G293" s="64">
        <f>-57</f>
        <v>-57</v>
      </c>
      <c r="H293" s="65">
        <f>IF(SIN(J293/$J$7)&gt;0,$J$7*ACOS((SIN(G293/$J$7)-SIN($D$4/$J$7)*K293)/(COS($D$4/$J$7)*SIN(L293/$J$7))),360-($J$7*ACOS((SIN(G293/$J$7)-SIN($D$4/$J$7)*K293)/(COS($D$4/$J$7)*SIN(L293/$J$7)))))</f>
        <v>143.42561079103064</v>
      </c>
      <c r="I293" s="66">
        <f>69.041*$J$7*(ACOS(SIN($D$4/$J$7)*SIN(G293/$J$7)+COS($D$4/$J$7)*COS(G293/$J$7)*COS(J293/$J$7)))</f>
        <v>7913.184035214647</v>
      </c>
      <c r="J293" s="63">
        <f>+$D$3-F293</f>
        <v>84.06</v>
      </c>
      <c r="K293" s="63">
        <f>SIN($D$4/$J$7)*SIN(G293/$J$7)+COS($D$4/$J$7)*COS(G293/$J$7)*COS(J293/$J$7)</f>
        <v>-0.4165302652839215</v>
      </c>
      <c r="L293" s="63">
        <f t="shared" si="13"/>
        <v>114.61572160331755</v>
      </c>
      <c r="M293" s="67">
        <f>IF(SIN(N293/$J$7)&gt;0,$J$7*ACOS((SIN($D$4/$J$7)-SIN(G293/$J$7)*O293)/(COS(G293/$J$7)*SIN(P293/$J$7))),360-($J$7*ACOS((SIN($D$4/$J$7)-SIN(G293/$J$7)*O293)/(COS(G293/$J$7)*SIN(P293/$J$7)))))</f>
        <v>294.2459562276444</v>
      </c>
      <c r="N293" s="68">
        <f>+F293-$D$3</f>
        <v>-84.06</v>
      </c>
      <c r="O293" s="69">
        <f>SIN(G293/$J$7)*SIN($D$4/$J$7)+COS(G293/$J$7)*COS($D$4/$J$7)*COS(N293/$J$7)</f>
        <v>-0.4165302652839215</v>
      </c>
      <c r="P293" s="59">
        <f t="shared" si="14"/>
        <v>114.61572160331755</v>
      </c>
      <c r="Q293" s="38"/>
    </row>
    <row r="294" spans="1:17" ht="12" customHeight="1">
      <c r="A294" s="46">
        <f t="shared" si="12"/>
        <v>287</v>
      </c>
      <c r="B294" s="46" t="s">
        <v>616</v>
      </c>
      <c r="C294" s="46" t="s">
        <v>617</v>
      </c>
      <c r="D294" s="61" t="s">
        <v>70</v>
      </c>
      <c r="E294" s="61" t="s">
        <v>71</v>
      </c>
      <c r="F294" s="64">
        <v>64.7</v>
      </c>
      <c r="G294" s="64">
        <v>32.3</v>
      </c>
      <c r="H294" s="65">
        <f>IF(SIN(J294/$J$7)&gt;0,$J$7*ACOS((SIN(G294/$J$7)-SIN($D$4/$J$7)*K294)/(COS($D$4/$J$7)*SIN(L294/$J$7))),360-($J$7*ACOS((SIN(G294/$J$7)-SIN($D$4/$J$7)*K294)/(COS($D$4/$J$7)*SIN(L294/$J$7)))))</f>
        <v>78.28907125807979</v>
      </c>
      <c r="I294" s="66">
        <f>69.041*$J$7*(ACOS(SIN($D$4/$J$7)*SIN(G294/$J$7)+COS($D$4/$J$7)*COS(G294/$J$7)*COS(J294/$J$7)))</f>
        <v>2721.664610956693</v>
      </c>
      <c r="J294" s="63">
        <f>+$D$3-F294</f>
        <v>47.36</v>
      </c>
      <c r="K294" s="63">
        <f>SIN($D$4/$J$7)*SIN(G294/$J$7)+COS($D$4/$J$7)*COS(G294/$J$7)*COS(J294/$J$7)</f>
        <v>0.7725009850665635</v>
      </c>
      <c r="L294" s="63">
        <f t="shared" si="13"/>
        <v>39.42099058467713</v>
      </c>
      <c r="M294" s="67">
        <f>IF(SIN(N294/$J$7)&gt;0,$J$7*ACOS((SIN($D$4/$J$7)-SIN(G294/$J$7)*O294)/(COS(G294/$J$7)*SIN(P294/$J$7))),360-($J$7*ACOS((SIN($D$4/$J$7)-SIN(G294/$J$7)*O294)/(COS(G294/$J$7)*SIN(P294/$J$7)))))</f>
        <v>285.10555641721317</v>
      </c>
      <c r="N294" s="68">
        <f>+F294-$D$3</f>
        <v>-47.36</v>
      </c>
      <c r="O294" s="69">
        <f>SIN(G294/$J$7)*SIN($D$4/$J$7)+COS(G294/$J$7)*COS($D$4/$J$7)*COS(N294/$J$7)</f>
        <v>0.7725009850665635</v>
      </c>
      <c r="P294" s="59">
        <f t="shared" si="14"/>
        <v>39.42099058467713</v>
      </c>
      <c r="Q294" s="38"/>
    </row>
    <row r="295" spans="1:17" ht="12" customHeight="1">
      <c r="A295" s="46">
        <f t="shared" si="12"/>
        <v>288</v>
      </c>
      <c r="B295" s="46" t="s">
        <v>618</v>
      </c>
      <c r="C295" s="46" t="s">
        <v>619</v>
      </c>
      <c r="D295" s="61" t="s">
        <v>24</v>
      </c>
      <c r="E295" s="61" t="s">
        <v>27</v>
      </c>
      <c r="F295" s="64">
        <f>-72.4</f>
        <v>-72.4</v>
      </c>
      <c r="G295" s="64">
        <f>-7.3</f>
        <v>-7.3</v>
      </c>
      <c r="H295" s="65">
        <f>IF(SIN(J295/$J$7)&gt;0,$J$7*ACOS((SIN(G295/$J$7)-SIN($D$4/$J$7)*K295)/(COS($D$4/$J$7)*SIN(L295/$J$7))),360-($J$7*ACOS((SIN(G295/$J$7)-SIN($D$4/$J$7)*K295)/(COS($D$4/$J$7)*SIN(L295/$J$7)))))</f>
        <v>350.0708830526345</v>
      </c>
      <c r="I295" s="66">
        <f>69.041*$J$7*(ACOS(SIN($D$4/$J$7)*SIN(G295/$J$7)+COS($D$4/$J$7)*COS(G295/$J$7)*COS(J295/$J$7)))</f>
        <v>10592.792409506672</v>
      </c>
      <c r="J295" s="63">
        <f>+$D$3-F295</f>
        <v>184.46</v>
      </c>
      <c r="K295" s="63">
        <f>SIN($D$4/$J$7)*SIN(G295/$J$7)+COS($D$4/$J$7)*COS(G295/$J$7)*COS(J295/$J$7)</f>
        <v>-0.8943695383045558</v>
      </c>
      <c r="L295" s="63">
        <f t="shared" si="13"/>
        <v>153.42756346962923</v>
      </c>
      <c r="M295" s="67">
        <f>IF(SIN(N295/$J$7)&gt;0,$J$7*ACOS((SIN($D$4/$J$7)-SIN(G295/$J$7)*O295)/(COS(G295/$J$7)*SIN(P295/$J$7))),360-($J$7*ACOS((SIN($D$4/$J$7)-SIN(G295/$J$7)*O295)/(COS(G295/$J$7)*SIN(P295/$J$7)))))</f>
        <v>8.330208106918478</v>
      </c>
      <c r="N295" s="68">
        <f>+F295-$D$3</f>
        <v>-184.46</v>
      </c>
      <c r="O295" s="69">
        <f>SIN(G295/$J$7)*SIN($D$4/$J$7)+COS(G295/$J$7)*COS($D$4/$J$7)*COS(N295/$J$7)</f>
        <v>-0.8943695383045558</v>
      </c>
      <c r="P295" s="59">
        <f t="shared" si="14"/>
        <v>153.42756346962923</v>
      </c>
      <c r="Q295" s="38"/>
    </row>
    <row r="296" spans="1:17" ht="12" customHeight="1">
      <c r="A296" s="46">
        <f t="shared" si="12"/>
        <v>289</v>
      </c>
      <c r="B296" s="46" t="s">
        <v>620</v>
      </c>
      <c r="C296" s="46" t="s">
        <v>621</v>
      </c>
      <c r="D296" s="61" t="s">
        <v>37</v>
      </c>
      <c r="E296" s="61" t="s">
        <v>38</v>
      </c>
      <c r="F296" s="64">
        <v>130.1</v>
      </c>
      <c r="G296" s="64">
        <f>-25.1</f>
        <v>-25.1</v>
      </c>
      <c r="H296" s="65">
        <f>IF(SIN(J296/$J$7)&gt;0,$J$7*ACOS((SIN(G296/$J$7)-SIN($D$4/$J$7)*K296)/(COS($D$4/$J$7)*SIN(L296/$J$7))),360-($J$7*ACOS((SIN(G296/$J$7)-SIN($D$4/$J$7)*K296)/(COS($D$4/$J$7)*SIN(L296/$J$7)))))</f>
        <v>198.68141926000706</v>
      </c>
      <c r="I296" s="66">
        <f>69.041*$J$7*(ACOS(SIN($D$4/$J$7)*SIN(G296/$J$7)+COS($D$4/$J$7)*COS(G296/$J$7)*COS(J296/$J$7)))</f>
        <v>4218.941297924964</v>
      </c>
      <c r="J296" s="63">
        <f>+$D$3-F296</f>
        <v>-18.039999999999992</v>
      </c>
      <c r="K296" s="63">
        <f>SIN($D$4/$J$7)*SIN(G296/$J$7)+COS($D$4/$J$7)*COS(G296/$J$7)*COS(J296/$J$7)</f>
        <v>0.4831637107188397</v>
      </c>
      <c r="L296" s="63">
        <f t="shared" si="13"/>
        <v>61.107766369620435</v>
      </c>
      <c r="M296" s="67">
        <f>IF(SIN(N296/$J$7)&gt;0,$J$7*ACOS((SIN($D$4/$J$7)-SIN(G296/$J$7)*O296)/(COS(G296/$J$7)*SIN(P296/$J$7))),360-($J$7*ACOS((SIN($D$4/$J$7)-SIN(G296/$J$7)*O296)/(COS(G296/$J$7)*SIN(P296/$J$7)))))</f>
        <v>17.144379736407362</v>
      </c>
      <c r="N296" s="68">
        <f>+F296-$D$3</f>
        <v>18.039999999999992</v>
      </c>
      <c r="O296" s="69">
        <f>SIN(G296/$J$7)*SIN($D$4/$J$7)+COS(G296/$J$7)*COS($D$4/$J$7)*COS(N296/$J$7)</f>
        <v>0.4831637107188397</v>
      </c>
      <c r="P296" s="59">
        <f t="shared" si="14"/>
        <v>61.107766369620435</v>
      </c>
      <c r="Q296" s="38"/>
    </row>
    <row r="297" spans="1:17" ht="12" customHeight="1">
      <c r="A297" s="46">
        <f t="shared" si="12"/>
        <v>290</v>
      </c>
      <c r="B297" s="46" t="s">
        <v>622</v>
      </c>
      <c r="C297" s="46" t="s">
        <v>623</v>
      </c>
      <c r="D297" s="61" t="s">
        <v>17</v>
      </c>
      <c r="E297" s="61" t="s">
        <v>169</v>
      </c>
      <c r="F297" s="64">
        <f>-114</f>
        <v>-114</v>
      </c>
      <c r="G297" s="64">
        <v>22.5</v>
      </c>
      <c r="H297" s="65">
        <f>IF(SIN(J297/$J$7)&gt;0,$J$7*ACOS((SIN(G297/$J$7)-SIN($D$4/$J$7)*K297)/(COS($D$4/$J$7)*SIN(L297/$J$7))),360-($J$7*ACOS((SIN(G297/$J$7)-SIN($D$4/$J$7)*K297)/(COS($D$4/$J$7)*SIN(L297/$J$7)))))</f>
        <v>315.34156313547504</v>
      </c>
      <c r="I297" s="66">
        <f>69.041*$J$7*(ACOS(SIN($D$4/$J$7)*SIN(G297/$J$7)+COS($D$4/$J$7)*COS(G297/$J$7)*COS(J297/$J$7)))</f>
        <v>7513.837807557016</v>
      </c>
      <c r="J297" s="63">
        <f>+$D$3-F297</f>
        <v>226.06</v>
      </c>
      <c r="K297" s="63">
        <f>SIN($D$4/$J$7)*SIN(G297/$J$7)+COS($D$4/$J$7)*COS(G297/$J$7)*COS(J297/$J$7)</f>
        <v>-0.32278662433745786</v>
      </c>
      <c r="L297" s="63">
        <f t="shared" si="13"/>
        <v>108.83153209769581</v>
      </c>
      <c r="M297" s="67">
        <f>IF(SIN(N297/$J$7)&gt;0,$J$7*ACOS((SIN($D$4/$J$7)-SIN(G297/$J$7)*O297)/(COS(G297/$J$7)*SIN(P297/$J$7))),360-($J$7*ACOS((SIN($D$4/$J$7)-SIN(G297/$J$7)*O297)/(COS(G297/$J$7)*SIN(P297/$J$7)))))</f>
        <v>39.34925218547297</v>
      </c>
      <c r="N297" s="68">
        <f>+F297-$D$3</f>
        <v>-226.06</v>
      </c>
      <c r="O297" s="69">
        <f>SIN(G297/$J$7)*SIN($D$4/$J$7)+COS(G297/$J$7)*COS($D$4/$J$7)*COS(N297/$J$7)</f>
        <v>-0.32278662433745786</v>
      </c>
      <c r="P297" s="59">
        <f t="shared" si="14"/>
        <v>108.83153209769581</v>
      </c>
      <c r="Q297" s="38"/>
    </row>
    <row r="298" spans="1:17" ht="12" customHeight="1">
      <c r="A298" s="46">
        <f t="shared" si="12"/>
        <v>291</v>
      </c>
      <c r="B298" s="46" t="s">
        <v>624</v>
      </c>
      <c r="C298" s="46" t="s">
        <v>625</v>
      </c>
      <c r="D298" s="61" t="s">
        <v>17</v>
      </c>
      <c r="E298" s="61" t="s">
        <v>65</v>
      </c>
      <c r="F298" s="64">
        <f>-80</f>
        <v>-80</v>
      </c>
      <c r="G298" s="64">
        <v>23</v>
      </c>
      <c r="H298" s="65">
        <f>IF(SIN(J298/$J$7)&gt;0,$J$7*ACOS((SIN(G298/$J$7)-SIN($D$4/$J$7)*K298)/(COS($D$4/$J$7)*SIN(L298/$J$7))),360-($J$7*ACOS((SIN(G298/$J$7)-SIN($D$4/$J$7)*K298)/(COS($D$4/$J$7)*SIN(L298/$J$7)))))</f>
        <v>346.84876943301794</v>
      </c>
      <c r="I298" s="66">
        <f>69.041*$J$7*(ACOS(SIN($D$4/$J$7)*SIN(G298/$J$7)+COS($D$4/$J$7)*COS(G298/$J$7)*COS(J298/$J$7)))</f>
        <v>8443.364091506137</v>
      </c>
      <c r="J298" s="63">
        <f>+$D$3-F298</f>
        <v>192.06</v>
      </c>
      <c r="K298" s="63">
        <f>SIN($D$4/$J$7)*SIN(G298/$J$7)+COS($D$4/$J$7)*COS(G298/$J$7)*COS(J298/$J$7)</f>
        <v>-0.5342775151448396</v>
      </c>
      <c r="L298" s="63">
        <f t="shared" si="13"/>
        <v>122.29492752865887</v>
      </c>
      <c r="M298" s="67">
        <f>IF(SIN(N298/$J$7)&gt;0,$J$7*ACOS((SIN($D$4/$J$7)-SIN(G298/$J$7)*O298)/(COS(G298/$J$7)*SIN(P298/$J$7))),360-($J$7*ACOS((SIN($D$4/$J$7)-SIN(G298/$J$7)*O298)/(COS(G298/$J$7)*SIN(P298/$J$7)))))</f>
        <v>11.887649053956272</v>
      </c>
      <c r="N298" s="68">
        <f>+F298-$D$3</f>
        <v>-192.06</v>
      </c>
      <c r="O298" s="69">
        <f>SIN(G298/$J$7)*SIN($D$4/$J$7)+COS(G298/$J$7)*COS($D$4/$J$7)*COS(N298/$J$7)</f>
        <v>-0.5342775151448396</v>
      </c>
      <c r="P298" s="59">
        <f t="shared" si="14"/>
        <v>122.29492752865887</v>
      </c>
      <c r="Q298" s="38"/>
    </row>
    <row r="299" spans="1:17" ht="12" customHeight="1">
      <c r="A299" s="46">
        <f t="shared" si="12"/>
        <v>292</v>
      </c>
      <c r="B299" s="46" t="s">
        <v>626</v>
      </c>
      <c r="C299" s="46" t="s">
        <v>627</v>
      </c>
      <c r="D299" s="61" t="s">
        <v>17</v>
      </c>
      <c r="E299" s="61" t="s">
        <v>18</v>
      </c>
      <c r="F299" s="64">
        <f>-94</f>
        <v>-94</v>
      </c>
      <c r="G299" s="64">
        <v>10</v>
      </c>
      <c r="H299" s="65">
        <f>IF(SIN(J299/$J$7)&gt;0,$J$7*ACOS((SIN(G299/$J$7)-SIN($D$4/$J$7)*K299)/(COS($D$4/$J$7)*SIN(L299/$J$7))),360-($J$7*ACOS((SIN(G299/$J$7)-SIN($D$4/$J$7)*K299)/(COS($D$4/$J$7)*SIN(L299/$J$7)))))</f>
        <v>325.67603233026114</v>
      </c>
      <c r="I299" s="66">
        <f>69.041*$J$7*(ACOS(SIN($D$4/$J$7)*SIN(G299/$J$7)+COS($D$4/$J$7)*COS(G299/$J$7)*COS(J299/$J$7)))</f>
        <v>8967.820329950786</v>
      </c>
      <c r="J299" s="63">
        <f>+$D$3-F299</f>
        <v>206.06</v>
      </c>
      <c r="K299" s="63">
        <f>SIN($D$4/$J$7)*SIN(G299/$J$7)+COS($D$4/$J$7)*COS(G299/$J$7)*COS(J299/$J$7)</f>
        <v>-0.6413321820235526</v>
      </c>
      <c r="L299" s="63">
        <f t="shared" si="13"/>
        <v>129.89122883432722</v>
      </c>
      <c r="M299" s="67">
        <f>IF(SIN(N299/$J$7)&gt;0,$J$7*ACOS((SIN($D$4/$J$7)-SIN(G299/$J$7)*O299)/(COS(G299/$J$7)*SIN(P299/$J$7))),360-($J$7*ACOS((SIN($D$4/$J$7)-SIN(G299/$J$7)*O299)/(COS(G299/$J$7)*SIN(P299/$J$7)))))</f>
        <v>28.501528557230973</v>
      </c>
      <c r="N299" s="68">
        <f>+F299-$D$3</f>
        <v>-206.06</v>
      </c>
      <c r="O299" s="69">
        <f>SIN(G299/$J$7)*SIN($D$4/$J$7)+COS(G299/$J$7)*COS($D$4/$J$7)*COS(N299/$J$7)</f>
        <v>-0.6413321820235526</v>
      </c>
      <c r="P299" s="59">
        <f t="shared" si="14"/>
        <v>129.89122883432722</v>
      </c>
      <c r="Q299" s="38"/>
    </row>
    <row r="300" spans="1:17" ht="12" customHeight="1">
      <c r="A300" s="46">
        <f t="shared" si="12"/>
        <v>293</v>
      </c>
      <c r="B300" s="46" t="s">
        <v>628</v>
      </c>
      <c r="C300" s="46" t="s">
        <v>629</v>
      </c>
      <c r="D300" s="61" t="s">
        <v>17</v>
      </c>
      <c r="E300" s="61" t="s">
        <v>65</v>
      </c>
      <c r="F300" s="64">
        <f>-70</f>
        <v>-70</v>
      </c>
      <c r="G300" s="64">
        <v>10</v>
      </c>
      <c r="H300" s="65">
        <f>IF(SIN(J300/$J$7)&gt;0,$J$7*ACOS((SIN(G300/$J$7)-SIN($D$4/$J$7)*K300)/(COS($D$4/$J$7)*SIN(L300/$J$7))),360-($J$7*ACOS((SIN(G300/$J$7)-SIN($D$4/$J$7)*K300)/(COS($D$4/$J$7)*SIN(L300/$J$7)))))</f>
        <v>357.05724885242364</v>
      </c>
      <c r="I300" s="66">
        <f>69.041*$J$7*(ACOS(SIN($D$4/$J$7)*SIN(G300/$J$7)+COS($D$4/$J$7)*COS(G300/$J$7)*COS(J300/$J$7)))</f>
        <v>9417.600327486614</v>
      </c>
      <c r="J300" s="63">
        <f>+$D$3-F300</f>
        <v>182.06</v>
      </c>
      <c r="K300" s="63">
        <f>SIN($D$4/$J$7)*SIN(G300/$J$7)+COS($D$4/$J$7)*COS(G300/$J$7)*COS(J300/$J$7)</f>
        <v>-0.7242429728505435</v>
      </c>
      <c r="L300" s="63">
        <f t="shared" si="13"/>
        <v>136.40590848172266</v>
      </c>
      <c r="M300" s="67">
        <f>IF(SIN(N300/$J$7)&gt;0,$J$7*ACOS((SIN($D$4/$J$7)-SIN(G300/$J$7)*O300)/(COS(G300/$J$7)*SIN(P300/$J$7))),360-($J$7*ACOS((SIN($D$4/$J$7)-SIN(G300/$J$7)*O300)/(COS(G300/$J$7)*SIN(P300/$J$7)))))</f>
        <v>2.490022901116049</v>
      </c>
      <c r="N300" s="68">
        <f>+F300-$D$3</f>
        <v>-182.06</v>
      </c>
      <c r="O300" s="69">
        <f>SIN(G300/$J$7)*SIN($D$4/$J$7)+COS(G300/$J$7)*COS($D$4/$J$7)*COS(N300/$J$7)</f>
        <v>-0.7242429728505435</v>
      </c>
      <c r="P300" s="59">
        <f t="shared" si="14"/>
        <v>136.40590848172266</v>
      </c>
      <c r="Q300" s="38"/>
    </row>
    <row r="301" spans="1:17" ht="12" customHeight="1">
      <c r="A301" s="46">
        <f t="shared" si="12"/>
        <v>294</v>
      </c>
      <c r="B301" s="46" t="s">
        <v>630</v>
      </c>
      <c r="C301" s="46" t="s">
        <v>631</v>
      </c>
      <c r="D301" s="61" t="s">
        <v>70</v>
      </c>
      <c r="E301" s="61" t="s">
        <v>632</v>
      </c>
      <c r="F301" s="64">
        <v>112</v>
      </c>
      <c r="G301" s="64">
        <v>33.5</v>
      </c>
      <c r="H301" s="65">
        <f>IF(SIN(J301/$J$7)&gt;0,$J$7*ACOS((SIN(G301/$J$7)-SIN($D$4/$J$7)*K301)/(COS($D$4/$J$7)*SIN(L301/$J$7))),360-($J$7*ACOS((SIN(G301/$J$7)-SIN($D$4/$J$7)*K301)/(COS($D$4/$J$7)*SIN(L301/$J$7)))))</f>
        <v>134.97271807081813</v>
      </c>
      <c r="I301" s="66">
        <f>69.041*$J$7*(ACOS(SIN($D$4/$J$7)*SIN(G301/$J$7)+COS($D$4/$J$7)*COS(G301/$J$7)*COS(J301/$J$7)))</f>
        <v>4.882848471849455</v>
      </c>
      <c r="J301" s="63">
        <f>+$D$3-F301</f>
        <v>0.060000000000002274</v>
      </c>
      <c r="K301" s="63">
        <f>SIN($D$4/$J$7)*SIN(G301/$J$7)+COS($D$4/$J$7)*COS(G301/$J$7)*COS(J301/$J$7)</f>
        <v>0.9999992381718213</v>
      </c>
      <c r="L301" s="63">
        <f t="shared" si="13"/>
        <v>0.07072389553815059</v>
      </c>
      <c r="M301" s="67">
        <f>IF(SIN(N301/$J$7)&gt;0,$J$7*ACOS((SIN($D$4/$J$7)-SIN(G301/$J$7)*O301)/(COS(G301/$J$7)*SIN(P301/$J$7))),360-($J$7*ACOS((SIN($D$4/$J$7)-SIN(G301/$J$7)*O301)/(COS(G301/$J$7)*SIN(P301/$J$7)))))</f>
        <v>315.0058561231179</v>
      </c>
      <c r="N301" s="68">
        <f>+F301-$D$3</f>
        <v>-0.060000000000002274</v>
      </c>
      <c r="O301" s="69">
        <f>SIN(G301/$J$7)*SIN($D$4/$J$7)+COS(G301/$J$7)*COS($D$4/$J$7)*COS(N301/$J$7)</f>
        <v>0.9999992381718213</v>
      </c>
      <c r="P301" s="59">
        <f t="shared" si="14"/>
        <v>0.07072389553815059</v>
      </c>
      <c r="Q301" s="38"/>
    </row>
    <row r="302" spans="1:17" ht="12" customHeight="1">
      <c r="A302" s="46">
        <f t="shared" si="12"/>
        <v>295</v>
      </c>
      <c r="B302" s="46" t="s">
        <v>633</v>
      </c>
      <c r="C302" s="46" t="s">
        <v>634</v>
      </c>
      <c r="D302" s="61" t="s">
        <v>70</v>
      </c>
      <c r="E302" s="61" t="s">
        <v>635</v>
      </c>
      <c r="F302" s="64">
        <v>98</v>
      </c>
      <c r="G302" s="64">
        <v>24</v>
      </c>
      <c r="H302" s="65">
        <f>IF(SIN(J302/$J$7)&gt;0,$J$7*ACOS((SIN(G302/$J$7)-SIN($D$4/$J$7)*K302)/(COS($D$4/$J$7)*SIN(L302/$J$7))),360-($J$7*ACOS((SIN(G302/$J$7)-SIN($D$4/$J$7)*K302)/(COS($D$4/$J$7)*SIN(L302/$J$7)))))</f>
        <v>124.1922520345033</v>
      </c>
      <c r="I302" s="66">
        <f>69.041*$J$7*(ACOS(SIN($D$4/$J$7)*SIN(G302/$J$7)+COS($D$4/$J$7)*COS(G302/$J$7)*COS(J302/$J$7)))</f>
        <v>1074.5372038169153</v>
      </c>
      <c r="J302" s="63">
        <f>+$D$3-F302</f>
        <v>14.060000000000002</v>
      </c>
      <c r="K302" s="63">
        <f>SIN($D$4/$J$7)*SIN(G302/$J$7)+COS($D$4/$J$7)*COS(G302/$J$7)*COS(J302/$J$7)</f>
        <v>0.9633324916405562</v>
      </c>
      <c r="L302" s="63">
        <f t="shared" si="13"/>
        <v>15.563754925579227</v>
      </c>
      <c r="M302" s="67">
        <f>IF(SIN(N302/$J$7)&gt;0,$J$7*ACOS((SIN($D$4/$J$7)-SIN(G302/$J$7)*O302)/(COS(G302/$J$7)*SIN(P302/$J$7))),360-($J$7*ACOS((SIN($D$4/$J$7)-SIN(G302/$J$7)*O302)/(COS(G302/$J$7)*SIN(P302/$J$7)))))</f>
        <v>311.0101357241741</v>
      </c>
      <c r="N302" s="68">
        <f>+F302-$D$3</f>
        <v>-14.060000000000002</v>
      </c>
      <c r="O302" s="69">
        <f>SIN(G302/$J$7)*SIN($D$4/$J$7)+COS(G302/$J$7)*COS($D$4/$J$7)*COS(N302/$J$7)</f>
        <v>0.9633324916405562</v>
      </c>
      <c r="P302" s="59">
        <f t="shared" si="14"/>
        <v>15.563754925579227</v>
      </c>
      <c r="Q302" s="38"/>
    </row>
    <row r="303" spans="1:17" ht="12" customHeight="1">
      <c r="A303" s="46">
        <f t="shared" si="12"/>
        <v>296</v>
      </c>
      <c r="B303" s="46" t="s">
        <v>636</v>
      </c>
      <c r="C303" s="46" t="s">
        <v>637</v>
      </c>
      <c r="D303" s="61" t="s">
        <v>70</v>
      </c>
      <c r="E303" s="61" t="s">
        <v>635</v>
      </c>
      <c r="F303" s="64">
        <v>112</v>
      </c>
      <c r="G303" s="64">
        <v>18</v>
      </c>
      <c r="H303" s="65">
        <f>IF(SIN(J303/$J$7)&gt;0,$J$7*ACOS((SIN(G303/$J$7)-SIN($D$4/$J$7)*K303)/(COS($D$4/$J$7)*SIN(L303/$J$7))),360-($J$7*ACOS((SIN(G303/$J$7)-SIN($D$4/$J$7)*K303)/(COS($D$4/$J$7)*SIN(L303/$J$7)))))</f>
        <v>179.7871405940102</v>
      </c>
      <c r="I303" s="66">
        <f>69.041*$J$7*(ACOS(SIN($D$4/$J$7)*SIN(G303/$J$7)+COS($D$4/$J$7)*COS(G303/$J$7)*COS(J303/$J$7)))</f>
        <v>1073.593962898242</v>
      </c>
      <c r="J303" s="63">
        <f>+$D$3-F303</f>
        <v>0.060000000000002274</v>
      </c>
      <c r="K303" s="63">
        <f>SIN($D$4/$J$7)*SIN(G303/$J$7)+COS($D$4/$J$7)*COS(G303/$J$7)*COS(J303/$J$7)</f>
        <v>0.9633964422381507</v>
      </c>
      <c r="L303" s="63">
        <f t="shared" si="13"/>
        <v>15.550092885361481</v>
      </c>
      <c r="M303" s="67">
        <f>IF(SIN(N303/$J$7)&gt;0,$J$7*ACOS((SIN($D$4/$J$7)-SIN(G303/$J$7)*O303)/(COS(G303/$J$7)*SIN(P303/$J$7))),360-($J$7*ACOS((SIN($D$4/$J$7)-SIN(G303/$J$7)*O303)/(COS(G303/$J$7)*SIN(P303/$J$7)))))</f>
        <v>359.81347296356466</v>
      </c>
      <c r="N303" s="68">
        <f>+F303-$D$3</f>
        <v>-0.060000000000002274</v>
      </c>
      <c r="O303" s="69">
        <f>SIN(G303/$J$7)*SIN($D$4/$J$7)+COS(G303/$J$7)*COS($D$4/$J$7)*COS(N303/$J$7)</f>
        <v>0.9633964422381507</v>
      </c>
      <c r="P303" s="59">
        <f t="shared" si="14"/>
        <v>15.550092885361481</v>
      </c>
      <c r="Q303" s="38"/>
    </row>
    <row r="304" spans="1:17" ht="12" customHeight="1">
      <c r="A304" s="46">
        <f t="shared" si="12"/>
        <v>297</v>
      </c>
      <c r="B304" s="46" t="s">
        <v>638</v>
      </c>
      <c r="C304" s="46" t="s">
        <v>639</v>
      </c>
      <c r="D304" s="61" t="s">
        <v>24</v>
      </c>
      <c r="E304" s="61" t="s">
        <v>51</v>
      </c>
      <c r="F304" s="64">
        <v>1.7</v>
      </c>
      <c r="G304" s="64">
        <v>12.3</v>
      </c>
      <c r="H304" s="65">
        <f>IF(SIN(J304/$J$7)&gt;0,$J$7*ACOS((SIN(G304/$J$7)-SIN($D$4/$J$7)*K304)/(COS($D$4/$J$7)*SIN(L304/$J$7))),360-($J$7*ACOS((SIN(G304/$J$7)-SIN($D$4/$J$7)*K304)/(COS($D$4/$J$7)*SIN(L304/$J$7)))))</f>
        <v>68.25218586718401</v>
      </c>
      <c r="I304" s="66">
        <f>69.041*$J$7*(ACOS(SIN($D$4/$J$7)*SIN(G304/$J$7)+COS($D$4/$J$7)*COS(G304/$J$7)*COS(J304/$J$7)))</f>
        <v>6871.657875243423</v>
      </c>
      <c r="J304" s="63">
        <f>+$D$3-F304</f>
        <v>110.36</v>
      </c>
      <c r="K304" s="63">
        <f>SIN($D$4/$J$7)*SIN(G304/$J$7)+COS($D$4/$J$7)*COS(G304/$J$7)*COS(J304/$J$7)</f>
        <v>-0.16556578250664045</v>
      </c>
      <c r="L304" s="63">
        <f t="shared" si="13"/>
        <v>99.53010349275682</v>
      </c>
      <c r="M304" s="67">
        <f>IF(SIN(N304/$J$7)&gt;0,$J$7*ACOS((SIN($D$4/$J$7)-SIN(G304/$J$7)*O304)/(COS(G304/$J$7)*SIN(P304/$J$7))),360-($J$7*ACOS((SIN($D$4/$J$7)-SIN(G304/$J$7)*O304)/(COS(G304/$J$7)*SIN(P304/$J$7)))))</f>
        <v>307.60171578126875</v>
      </c>
      <c r="N304" s="68">
        <f>+F304-$D$3</f>
        <v>-110.36</v>
      </c>
      <c r="O304" s="69">
        <f>SIN(G304/$J$7)*SIN($D$4/$J$7)+COS(G304/$J$7)*COS($D$4/$J$7)*COS(N304/$J$7)</f>
        <v>-0.16556578250664045</v>
      </c>
      <c r="P304" s="59">
        <f t="shared" si="14"/>
        <v>99.53010349275682</v>
      </c>
      <c r="Q304" s="38"/>
    </row>
    <row r="305" spans="1:17" ht="12" customHeight="1">
      <c r="A305" s="46">
        <f t="shared" si="12"/>
        <v>298</v>
      </c>
      <c r="B305" s="46" t="s">
        <v>640</v>
      </c>
      <c r="C305" s="46" t="s">
        <v>641</v>
      </c>
      <c r="D305" s="61" t="s">
        <v>17</v>
      </c>
      <c r="E305" s="61" t="s">
        <v>18</v>
      </c>
      <c r="F305" s="64">
        <f>-105</f>
        <v>-105</v>
      </c>
      <c r="G305" s="64">
        <v>11.5</v>
      </c>
      <c r="H305" s="65">
        <f>IF(SIN(J305/$J$7)&gt;0,$J$7*ACOS((SIN(G305/$J$7)-SIN($D$4/$J$7)*K305)/(COS($D$4/$J$7)*SIN(L305/$J$7))),360-($J$7*ACOS((SIN(G305/$J$7)-SIN($D$4/$J$7)*K305)/(COS($D$4/$J$7)*SIN(L305/$J$7)))))</f>
        <v>315.37476887596563</v>
      </c>
      <c r="I305" s="66">
        <f>69.041*$J$7*(ACOS(SIN($D$4/$J$7)*SIN(G305/$J$7)+COS($D$4/$J$7)*COS(G305/$J$7)*COS(J305/$J$7)))</f>
        <v>8477.374817716496</v>
      </c>
      <c r="J305" s="63">
        <f>+$D$3-F305</f>
        <v>217.06</v>
      </c>
      <c r="K305" s="63">
        <f>SIN($D$4/$J$7)*SIN(G305/$J$7)+COS($D$4/$J$7)*COS(G305/$J$7)*COS(J305/$J$7)</f>
        <v>-0.5415254581942112</v>
      </c>
      <c r="L305" s="63">
        <f t="shared" si="13"/>
        <v>122.78754389010147</v>
      </c>
      <c r="M305" s="67">
        <f>IF(SIN(N305/$J$7)&gt;0,$J$7*ACOS((SIN($D$4/$J$7)-SIN(G305/$J$7)*O305)/(COS(G305/$J$7)*SIN(P305/$J$7))),360-($J$7*ACOS((SIN($D$4/$J$7)-SIN(G305/$J$7)*O305)/(COS(G305/$J$7)*SIN(P305/$J$7)))))</f>
        <v>36.686194329057635</v>
      </c>
      <c r="N305" s="68">
        <f>+F305-$D$3</f>
        <v>-217.06</v>
      </c>
      <c r="O305" s="69">
        <f>SIN(G305/$J$7)*SIN($D$4/$J$7)+COS(G305/$J$7)*COS($D$4/$J$7)*COS(N305/$J$7)</f>
        <v>-0.5415254581942112</v>
      </c>
      <c r="P305" s="59">
        <f t="shared" si="14"/>
        <v>122.78754389010147</v>
      </c>
      <c r="Q305" s="38"/>
    </row>
    <row r="306" spans="1:17" ht="12" customHeight="1">
      <c r="A306" s="46">
        <f t="shared" si="12"/>
        <v>299</v>
      </c>
      <c r="B306" s="46" t="s">
        <v>642</v>
      </c>
      <c r="C306" s="46" t="s">
        <v>643</v>
      </c>
      <c r="D306" s="61" t="s">
        <v>17</v>
      </c>
      <c r="E306" s="61" t="s">
        <v>18</v>
      </c>
      <c r="F306" s="64">
        <f>-106.7</f>
        <v>-106.7</v>
      </c>
      <c r="G306" s="64">
        <v>10.8</v>
      </c>
      <c r="H306" s="65">
        <f>IF(SIN(J306/$J$7)&gt;0,$J$7*ACOS((SIN(G306/$J$7)-SIN($D$4/$J$7)*K306)/(COS($D$4/$J$7)*SIN(L306/$J$7))),360-($J$7*ACOS((SIN(G306/$J$7)-SIN($D$4/$J$7)*K306)/(COS($D$4/$J$7)*SIN(L306/$J$7)))))</f>
        <v>313.29833509992164</v>
      </c>
      <c r="I306" s="66">
        <f>69.041*$J$7*(ACOS(SIN($D$4/$J$7)*SIN(G306/$J$7)+COS($D$4/$J$7)*COS(G306/$J$7)*COS(J306/$J$7)))</f>
        <v>8445.79901993169</v>
      </c>
      <c r="J306" s="63">
        <f>+$D$3-F306</f>
        <v>218.76</v>
      </c>
      <c r="K306" s="63">
        <f>SIN($D$4/$J$7)*SIN(G306/$J$7)+COS($D$4/$J$7)*COS(G306/$J$7)*COS(J306/$J$7)</f>
        <v>-0.5347977357382381</v>
      </c>
      <c r="L306" s="63">
        <f t="shared" si="13"/>
        <v>122.330195390155</v>
      </c>
      <c r="M306" s="67">
        <f>IF(SIN(N306/$J$7)&gt;0,$J$7*ACOS((SIN($D$4/$J$7)-SIN(G306/$J$7)*O306)/(COS(G306/$J$7)*SIN(P306/$J$7))),360-($J$7*ACOS((SIN($D$4/$J$7)-SIN(G306/$J$7)*O306)/(COS(G306/$J$7)*SIN(P306/$J$7)))))</f>
        <v>38.13252828209314</v>
      </c>
      <c r="N306" s="68">
        <f>+F306-$D$3</f>
        <v>-218.76</v>
      </c>
      <c r="O306" s="69">
        <f>SIN(G306/$J$7)*SIN($D$4/$J$7)+COS(G306/$J$7)*COS($D$4/$J$7)*COS(N306/$J$7)</f>
        <v>-0.5347977357382381</v>
      </c>
      <c r="P306" s="59">
        <f t="shared" si="14"/>
        <v>122.330195390155</v>
      </c>
      <c r="Q306" s="38"/>
    </row>
    <row r="307" spans="1:17" ht="12" customHeight="1">
      <c r="A307" s="46">
        <f t="shared" si="12"/>
        <v>300</v>
      </c>
      <c r="B307" s="46" t="s">
        <v>644</v>
      </c>
      <c r="C307" s="46" t="s">
        <v>645</v>
      </c>
      <c r="D307" s="61" t="s">
        <v>17</v>
      </c>
      <c r="E307" s="61" t="s">
        <v>18</v>
      </c>
      <c r="F307" s="64">
        <f>-102.5</f>
        <v>-102.5</v>
      </c>
      <c r="G307" s="64">
        <v>18</v>
      </c>
      <c r="H307" s="65">
        <f>IF(SIN(J307/$J$7)&gt;0,$J$7*ACOS((SIN(G307/$J$7)-SIN($D$4/$J$7)*K307)/(COS($D$4/$J$7)*SIN(L307/$J$7))),360-($J$7*ACOS((SIN(G307/$J$7)-SIN($D$4/$J$7)*K307)/(COS($D$4/$J$7)*SIN(L307/$J$7)))))</f>
        <v>321.9944632034851</v>
      </c>
      <c r="I307" s="66">
        <f>69.041*$J$7*(ACOS(SIN($D$4/$J$7)*SIN(G307/$J$7)+COS($D$4/$J$7)*COS(G307/$J$7)*COS(J307/$J$7)))</f>
        <v>8203.006228375843</v>
      </c>
      <c r="J307" s="63">
        <f>+$D$3-F307</f>
        <v>214.56</v>
      </c>
      <c r="K307" s="63">
        <f>SIN($D$4/$J$7)*SIN(G307/$J$7)+COS($D$4/$J$7)*COS(G307/$J$7)*COS(J307/$J$7)</f>
        <v>-0.4819608831529345</v>
      </c>
      <c r="L307" s="63">
        <f t="shared" si="13"/>
        <v>118.81354888219816</v>
      </c>
      <c r="M307" s="67">
        <f>IF(SIN(N307/$J$7)&gt;0,$J$7*ACOS((SIN($D$4/$J$7)-SIN(G307/$J$7)*O307)/(COS(G307/$J$7)*SIN(P307/$J$7))),360-($J$7*ACOS((SIN($D$4/$J$7)-SIN(G307/$J$7)*O307)/(COS(G307/$J$7)*SIN(P307/$J$7)))))</f>
        <v>32.654124073915106</v>
      </c>
      <c r="N307" s="68">
        <f>+F307-$D$3</f>
        <v>-214.56</v>
      </c>
      <c r="O307" s="69">
        <f>SIN(G307/$J$7)*SIN($D$4/$J$7)+COS(G307/$J$7)*COS($D$4/$J$7)*COS(N307/$J$7)</f>
        <v>-0.4819608831529345</v>
      </c>
      <c r="P307" s="59">
        <f t="shared" si="14"/>
        <v>118.81354888219816</v>
      </c>
      <c r="Q307" s="38"/>
    </row>
    <row r="308" spans="1:17" ht="12" customHeight="1">
      <c r="A308" s="46">
        <f t="shared" si="12"/>
        <v>301</v>
      </c>
      <c r="B308" s="46" t="s">
        <v>646</v>
      </c>
      <c r="C308" s="46" t="s">
        <v>647</v>
      </c>
      <c r="D308" s="61" t="s">
        <v>17</v>
      </c>
      <c r="E308" s="61" t="s">
        <v>169</v>
      </c>
      <c r="F308" s="64">
        <f>-114</f>
        <v>-114</v>
      </c>
      <c r="G308" s="64">
        <v>22</v>
      </c>
      <c r="H308" s="65">
        <f>IF(SIN(J308/$J$7)&gt;0,$J$7*ACOS((SIN(G308/$J$7)-SIN($D$4/$J$7)*K308)/(COS($D$4/$J$7)*SIN(L308/$J$7))),360-($J$7*ACOS((SIN(G308/$J$7)-SIN($D$4/$J$7)*K308)/(COS($D$4/$J$7)*SIN(L308/$J$7)))))</f>
        <v>315.00583345402214</v>
      </c>
      <c r="I308" s="66">
        <f>69.041*$J$7*(ACOS(SIN($D$4/$J$7)*SIN(G308/$J$7)+COS($D$4/$J$7)*COS(G308/$J$7)*COS(J308/$J$7)))</f>
        <v>7540.511518011041</v>
      </c>
      <c r="J308" s="63">
        <f>+$D$3-F308</f>
        <v>226.06</v>
      </c>
      <c r="K308" s="63">
        <f>SIN($D$4/$J$7)*SIN(G308/$J$7)+COS($D$4/$J$7)*COS(G308/$J$7)*COS(J308/$J$7)</f>
        <v>-0.3291613051678638</v>
      </c>
      <c r="L308" s="63">
        <f t="shared" si="13"/>
        <v>109.21787804364133</v>
      </c>
      <c r="M308" s="67">
        <f>IF(SIN(N308/$J$7)&gt;0,$J$7*ACOS((SIN($D$4/$J$7)-SIN(G308/$J$7)*O308)/(COS(G308/$J$7)*SIN(P308/$J$7))),360-($J$7*ACOS((SIN($D$4/$J$7)-SIN(G308/$J$7)*O308)/(COS(G308/$J$7)*SIN(P308/$J$7)))))</f>
        <v>39.45869284469094</v>
      </c>
      <c r="N308" s="68">
        <f>+F308-$D$3</f>
        <v>-226.06</v>
      </c>
      <c r="O308" s="69">
        <f>SIN(G308/$J$7)*SIN($D$4/$J$7)+COS(G308/$J$7)*COS($D$4/$J$7)*COS(N308/$J$7)</f>
        <v>-0.3291613051678638</v>
      </c>
      <c r="P308" s="59">
        <f t="shared" si="14"/>
        <v>109.21787804364133</v>
      </c>
      <c r="Q308" s="38"/>
    </row>
    <row r="309" spans="1:17" ht="12" customHeight="1">
      <c r="A309" s="46">
        <f t="shared" si="12"/>
        <v>302</v>
      </c>
      <c r="B309" s="46" t="s">
        <v>648</v>
      </c>
      <c r="C309" s="46" t="s">
        <v>649</v>
      </c>
      <c r="D309" s="61" t="s">
        <v>17</v>
      </c>
      <c r="E309" s="61" t="s">
        <v>18</v>
      </c>
      <c r="F309" s="64">
        <f>-96</f>
        <v>-96</v>
      </c>
      <c r="G309" s="64">
        <v>16.8</v>
      </c>
      <c r="H309" s="65">
        <f>IF(SIN(J309/$J$7)&gt;0,$J$7*ACOS((SIN(G309/$J$7)-SIN($D$4/$J$7)*K309)/(COS($D$4/$J$7)*SIN(L309/$J$7))),360-($J$7*ACOS((SIN(G309/$J$7)-SIN($D$4/$J$7)*K309)/(COS($D$4/$J$7)*SIN(L309/$J$7)))))</f>
        <v>327.533288899998</v>
      </c>
      <c r="I309" s="66">
        <f>69.041*$J$7*(ACOS(SIN($D$4/$J$7)*SIN(G309/$J$7)+COS($D$4/$J$7)*COS(G309/$J$7)*COS(J309/$J$7)))</f>
        <v>8490.515572189865</v>
      </c>
      <c r="J309" s="63">
        <f>+$D$3-F309</f>
        <v>208.06</v>
      </c>
      <c r="K309" s="63">
        <f>SIN($D$4/$J$7)*SIN(G309/$J$7)+COS($D$4/$J$7)*COS(G309/$J$7)*COS(J309/$J$7)</f>
        <v>-0.5443151604619154</v>
      </c>
      <c r="L309" s="63">
        <f t="shared" si="13"/>
        <v>122.97787651091186</v>
      </c>
      <c r="M309" s="67">
        <f>IF(SIN(N309/$J$7)&gt;0,$J$7*ACOS((SIN($D$4/$J$7)-SIN(G309/$J$7)*O309)/(COS(G309/$J$7)*SIN(P309/$J$7))),360-($J$7*ACOS((SIN($D$4/$J$7)-SIN(G309/$J$7)*O309)/(COS(G309/$J$7)*SIN(P309/$J$7)))))</f>
        <v>27.860780870107693</v>
      </c>
      <c r="N309" s="68">
        <f>+F309-$D$3</f>
        <v>-208.06</v>
      </c>
      <c r="O309" s="69">
        <f>SIN(G309/$J$7)*SIN($D$4/$J$7)+COS(G309/$J$7)*COS($D$4/$J$7)*COS(N309/$J$7)</f>
        <v>-0.5443151604619154</v>
      </c>
      <c r="P309" s="59">
        <f t="shared" si="14"/>
        <v>122.97787651091186</v>
      </c>
      <c r="Q309" s="38"/>
    </row>
    <row r="310" spans="1:17" ht="12" customHeight="1">
      <c r="A310" s="46">
        <f t="shared" si="12"/>
        <v>303</v>
      </c>
      <c r="B310" s="46" t="s">
        <v>650</v>
      </c>
      <c r="C310" s="46" t="s">
        <v>651</v>
      </c>
      <c r="D310" s="61" t="s">
        <v>17</v>
      </c>
      <c r="E310" s="61" t="s">
        <v>60</v>
      </c>
      <c r="F310" s="64">
        <f>-65</f>
        <v>-65</v>
      </c>
      <c r="G310" s="64">
        <v>32</v>
      </c>
      <c r="H310" s="65">
        <f>IF(SIN(J310/$J$7)&gt;0,$J$7*ACOS((SIN(G310/$J$7)-SIN($D$4/$J$7)*K310)/(COS($D$4/$J$7)*SIN(L310/$J$7))),360-($J$7*ACOS((SIN(G310/$J$7)-SIN($D$4/$J$7)*K310)/(COS($D$4/$J$7)*SIN(L310/$J$7)))))</f>
        <v>2.7374460149144366</v>
      </c>
      <c r="I310" s="66">
        <f>69.041*$J$7*(ACOS(SIN($D$4/$J$7)*SIN(G310/$J$7)+COS($D$4/$J$7)*COS(G310/$J$7)*COS(J310/$J$7)))</f>
        <v>7897.701033687221</v>
      </c>
      <c r="J310" s="63">
        <f>+$D$3-F310</f>
        <v>177.06</v>
      </c>
      <c r="K310" s="63">
        <f>SIN($D$4/$J$7)*SIN(G310/$J$7)+COS($D$4/$J$7)*COS(G310/$J$7)*COS(J310/$J$7)</f>
        <v>-0.41296874295535546</v>
      </c>
      <c r="L310" s="63">
        <f t="shared" si="13"/>
        <v>114.39146353162934</v>
      </c>
      <c r="M310" s="67">
        <f>IF(SIN(N310/$J$7)&gt;0,$J$7*ACOS((SIN($D$4/$J$7)-SIN(G310/$J$7)*O310)/(COS(G310/$J$7)*SIN(P310/$J$7))),360-($J$7*ACOS((SIN($D$4/$J$7)-SIN(G310/$J$7)*O310)/(COS(G310/$J$7)*SIN(P310/$J$7)))))</f>
        <v>357.30985976898126</v>
      </c>
      <c r="N310" s="68">
        <f>+F310-$D$3</f>
        <v>-177.06</v>
      </c>
      <c r="O310" s="69">
        <f>SIN(G310/$J$7)*SIN($D$4/$J$7)+COS(G310/$J$7)*COS($D$4/$J$7)*COS(N310/$J$7)</f>
        <v>-0.41296874295535546</v>
      </c>
      <c r="P310" s="59">
        <f t="shared" si="14"/>
        <v>114.39146353162934</v>
      </c>
      <c r="Q310" s="38"/>
    </row>
    <row r="311" spans="1:17" ht="12" customHeight="1">
      <c r="A311" s="46">
        <f t="shared" si="12"/>
        <v>304</v>
      </c>
      <c r="B311" s="46" t="s">
        <v>652</v>
      </c>
      <c r="C311" s="46" t="s">
        <v>653</v>
      </c>
      <c r="D311" s="61" t="s">
        <v>37</v>
      </c>
      <c r="E311" s="61" t="s">
        <v>134</v>
      </c>
      <c r="F311" s="64">
        <f>-107</f>
        <v>-107</v>
      </c>
      <c r="G311" s="64">
        <f>-6</f>
        <v>-6</v>
      </c>
      <c r="H311" s="65">
        <f>IF(SIN(J311/$J$7)&gt;0,$J$7*ACOS((SIN(G311/$J$7)-SIN($D$4/$J$7)*K311)/(COS($D$4/$J$7)*SIN(L311/$J$7))),360-($J$7*ACOS((SIN(G311/$J$7)-SIN($D$4/$J$7)*K311)/(COS($D$4/$J$7)*SIN(L311/$J$7)))))</f>
        <v>298.4583730777817</v>
      </c>
      <c r="I311" s="66">
        <f>69.041*$J$7*(ACOS(SIN($D$4/$J$7)*SIN(G311/$J$7)+COS($D$4/$J$7)*COS(G311/$J$7)*COS(J311/$J$7)))</f>
        <v>9288.465090382213</v>
      </c>
      <c r="J311" s="63">
        <f>+$D$3-F311</f>
        <v>219.06</v>
      </c>
      <c r="K311" s="63">
        <f>SIN($D$4/$J$7)*SIN(G311/$J$7)+COS($D$4/$J$7)*COS(G311/$J$7)*COS(J311/$J$7)</f>
        <v>-0.7013509881308299</v>
      </c>
      <c r="L311" s="63">
        <f t="shared" si="13"/>
        <v>134.53549471158027</v>
      </c>
      <c r="M311" s="67">
        <f>IF(SIN(N311/$J$7)&gt;0,$J$7*ACOS((SIN($D$4/$J$7)-SIN(G311/$J$7)*O311)/(COS(G311/$J$7)*SIN(P311/$J$7))),360-($J$7*ACOS((SIN($D$4/$J$7)-SIN(G311/$J$7)*O311)/(COS(G311/$J$7)*SIN(P311/$J$7)))))</f>
        <v>47.45395695526576</v>
      </c>
      <c r="N311" s="68">
        <f>+F311-$D$3</f>
        <v>-219.06</v>
      </c>
      <c r="O311" s="69">
        <f>SIN(G311/$J$7)*SIN($D$4/$J$7)+COS(G311/$J$7)*COS($D$4/$J$7)*COS(N311/$J$7)</f>
        <v>-0.7013509881308299</v>
      </c>
      <c r="P311" s="59">
        <f t="shared" si="14"/>
        <v>134.53549471158027</v>
      </c>
      <c r="Q311" s="38"/>
    </row>
    <row r="312" spans="1:17" ht="12" customHeight="1">
      <c r="A312" s="46">
        <f t="shared" si="12"/>
        <v>305</v>
      </c>
      <c r="B312" s="46" t="s">
        <v>654</v>
      </c>
      <c r="C312" s="46" t="s">
        <v>655</v>
      </c>
      <c r="D312" s="61" t="s">
        <v>17</v>
      </c>
      <c r="E312" s="61" t="s">
        <v>60</v>
      </c>
      <c r="F312" s="64">
        <f>-44.5</f>
        <v>-44.5</v>
      </c>
      <c r="G312" s="64">
        <v>33</v>
      </c>
      <c r="H312" s="65">
        <f>IF(SIN(J312/$J$7)&gt;0,$J$7*ACOS((SIN(G312/$J$7)-SIN($D$4/$J$7)*K312)/(COS($D$4/$J$7)*SIN(L312/$J$7))),360-($J$7*ACOS((SIN(G312/$J$7)-SIN($D$4/$J$7)*K312)/(COS($D$4/$J$7)*SIN(L312/$J$7)))))</f>
        <v>20.780217084174282</v>
      </c>
      <c r="I312" s="66">
        <f>69.041*$J$7*(ACOS(SIN($D$4/$J$7)*SIN(G312/$J$7)+COS($D$4/$J$7)*COS(G312/$J$7)*COS(J312/$J$7)))</f>
        <v>7587.141557444338</v>
      </c>
      <c r="J312" s="63">
        <f>+$D$3-F312</f>
        <v>156.56</v>
      </c>
      <c r="K312" s="63">
        <f>SIN($D$4/$J$7)*SIN(G312/$J$7)+COS($D$4/$J$7)*COS(G312/$J$7)*COS(J312/$J$7)</f>
        <v>-0.34026917311795213</v>
      </c>
      <c r="L312" s="63">
        <f t="shared" si="13"/>
        <v>109.89327439411855</v>
      </c>
      <c r="M312" s="67">
        <f>IF(SIN(N312/$J$7)&gt;0,$J$7*ACOS((SIN($D$4/$J$7)-SIN(G312/$J$7)*O312)/(COS(G312/$J$7)*SIN(P312/$J$7))),360-($J$7*ACOS((SIN($D$4/$J$7)-SIN(G312/$J$7)*O312)/(COS(G312/$J$7)*SIN(P312/$J$7)))))</f>
        <v>339.35625764603617</v>
      </c>
      <c r="N312" s="68">
        <f>+F312-$D$3</f>
        <v>-156.56</v>
      </c>
      <c r="O312" s="69">
        <f>SIN(G312/$J$7)*SIN($D$4/$J$7)+COS(G312/$J$7)*COS($D$4/$J$7)*COS(N312/$J$7)</f>
        <v>-0.34026917311795213</v>
      </c>
      <c r="P312" s="59">
        <f t="shared" si="14"/>
        <v>109.89327439411855</v>
      </c>
      <c r="Q312" s="38"/>
    </row>
    <row r="313" spans="1:17" ht="12" customHeight="1">
      <c r="A313" s="46">
        <f t="shared" si="12"/>
        <v>306</v>
      </c>
      <c r="B313" s="46" t="s">
        <v>656</v>
      </c>
      <c r="C313" s="46" t="s">
        <v>657</v>
      </c>
      <c r="D313" s="61" t="s">
        <v>37</v>
      </c>
      <c r="E313" s="61" t="s">
        <v>38</v>
      </c>
      <c r="F313" s="64">
        <f>-168</f>
        <v>-168</v>
      </c>
      <c r="G313" s="64">
        <f>-18</f>
        <v>-18</v>
      </c>
      <c r="H313" s="65">
        <f>IF(SIN(J313/$J$7)&gt;0,$J$7*ACOS((SIN(G313/$J$7)-SIN($D$4/$J$7)*K313)/(COS($D$4/$J$7)*SIN(L313/$J$7))),360-($J$7*ACOS((SIN(G313/$J$7)-SIN($D$4/$J$7)*K313)/(COS($D$4/$J$7)*SIN(L313/$J$7)))))</f>
        <v>249.5412589869544</v>
      </c>
      <c r="I313" s="66">
        <f>69.041*$J$7*(ACOS(SIN($D$4/$J$7)*SIN(G313/$J$7)+COS($D$4/$J$7)*COS(G313/$J$7)*COS(J313/$J$7)))</f>
        <v>6341.599461565275</v>
      </c>
      <c r="J313" s="63">
        <f>+$D$3-F313</f>
        <v>280.06</v>
      </c>
      <c r="K313" s="63">
        <f>SIN($D$4/$J$7)*SIN(G313/$J$7)+COS($D$4/$J$7)*COS(G313/$J$7)*COS(J313/$J$7)</f>
        <v>-0.03232937307694725</v>
      </c>
      <c r="L313" s="63">
        <f t="shared" si="13"/>
        <v>91.85265945692089</v>
      </c>
      <c r="M313" s="67">
        <f>IF(SIN(N313/$J$7)&gt;0,$J$7*ACOS((SIN($D$4/$J$7)-SIN(G313/$J$7)*O313)/(COS(G313/$J$7)*SIN(P313/$J$7))),360-($J$7*ACOS((SIN($D$4/$J$7)-SIN(G313/$J$7)*O313)/(COS(G313/$J$7)*SIN(P313/$J$7)))))</f>
        <v>55.18700474608271</v>
      </c>
      <c r="N313" s="68">
        <f>+F313-$D$3</f>
        <v>-280.06</v>
      </c>
      <c r="O313" s="69">
        <f>SIN(G313/$J$7)*SIN($D$4/$J$7)+COS(G313/$J$7)*COS($D$4/$J$7)*COS(N313/$J$7)</f>
        <v>-0.03232937307694725</v>
      </c>
      <c r="P313" s="59">
        <f t="shared" si="14"/>
        <v>91.85265945692089</v>
      </c>
      <c r="Q313" s="38"/>
    </row>
    <row r="314" spans="1:17" ht="12" customHeight="1">
      <c r="A314" s="46">
        <f t="shared" si="12"/>
        <v>307</v>
      </c>
      <c r="B314" s="46" t="s">
        <v>658</v>
      </c>
      <c r="C314" s="46" t="s">
        <v>659</v>
      </c>
      <c r="D314" s="61" t="s">
        <v>17</v>
      </c>
      <c r="E314" s="61" t="s">
        <v>76</v>
      </c>
      <c r="F314" s="64">
        <f>-36.5</f>
        <v>-36.5</v>
      </c>
      <c r="G314" s="64">
        <v>34</v>
      </c>
      <c r="H314" s="65">
        <f>IF(SIN(J314/$J$7)&gt;0,$J$7*ACOS((SIN(G314/$J$7)-SIN($D$4/$J$7)*K314)/(COS($D$4/$J$7)*SIN(L314/$J$7))),360-($J$7*ACOS((SIN(G314/$J$7)-SIN($D$4/$J$7)*K314)/(COS($D$4/$J$7)*SIN(L314/$J$7)))))</f>
        <v>26.776329224313923</v>
      </c>
      <c r="I314" s="66">
        <f>69.041*$J$7*(ACOS(SIN($D$4/$J$7)*SIN(G314/$J$7)+COS($D$4/$J$7)*COS(G314/$J$7)*COS(J314/$J$7)))</f>
        <v>7338.125852034892</v>
      </c>
      <c r="J314" s="63">
        <f>+$D$3-F314</f>
        <v>148.56</v>
      </c>
      <c r="K314" s="63">
        <f>SIN($D$4/$J$7)*SIN(G314/$J$7)+COS($D$4/$J$7)*COS(G314/$J$7)*COS(J314/$J$7)</f>
        <v>-0.28044045662036515</v>
      </c>
      <c r="L314" s="63">
        <f t="shared" si="13"/>
        <v>106.28649428650935</v>
      </c>
      <c r="M314" s="67">
        <f>IF(SIN(N314/$J$7)&gt;0,$J$7*ACOS((SIN($D$4/$J$7)-SIN(G314/$J$7)*O314)/(COS(G314/$J$7)*SIN(P314/$J$7))),360-($J$7*ACOS((SIN($D$4/$J$7)-SIN(G314/$J$7)*O314)/(COS(G314/$J$7)*SIN(P314/$J$7)))))</f>
        <v>333.0712955712238</v>
      </c>
      <c r="N314" s="68">
        <f>+F314-$D$3</f>
        <v>-148.56</v>
      </c>
      <c r="O314" s="69">
        <f>SIN(G314/$J$7)*SIN($D$4/$J$7)+COS(G314/$J$7)*COS($D$4/$J$7)*COS(N314/$J$7)</f>
        <v>-0.28044045662036515</v>
      </c>
      <c r="P314" s="59">
        <f t="shared" si="14"/>
        <v>106.28649428650935</v>
      </c>
      <c r="Q314" s="38"/>
    </row>
    <row r="315" spans="1:17" ht="12" customHeight="1">
      <c r="A315" s="46">
        <f t="shared" si="12"/>
        <v>308</v>
      </c>
      <c r="B315" s="46" t="s">
        <v>660</v>
      </c>
      <c r="C315" s="46" t="s">
        <v>661</v>
      </c>
      <c r="D315" s="61" t="s">
        <v>13</v>
      </c>
      <c r="E315" s="61" t="s">
        <v>14</v>
      </c>
      <c r="F315" s="64">
        <f>-24</f>
        <v>-24</v>
      </c>
      <c r="G315" s="64">
        <v>57</v>
      </c>
      <c r="H315" s="65">
        <f>IF(SIN(J315/$J$7)&gt;0,$J$7*ACOS((SIN(G315/$J$7)-SIN($D$4/$J$7)*K315)/(COS($D$4/$J$7)*SIN(L315/$J$7))),360-($J$7*ACOS((SIN(G315/$J$7)-SIN($D$4/$J$7)*K315)/(COS($D$4/$J$7)*SIN(L315/$J$7)))))</f>
        <v>22.427060108365964</v>
      </c>
      <c r="I315" s="66">
        <f>69.041*$J$7*(ACOS(SIN($D$4/$J$7)*SIN(G315/$J$7)+COS($D$4/$J$7)*COS(G315/$J$7)*COS(J315/$J$7)))</f>
        <v>5671.3910925050195</v>
      </c>
      <c r="J315" s="63">
        <f>+$D$3-F315</f>
        <v>136.06</v>
      </c>
      <c r="K315" s="63">
        <f>SIN($D$4/$J$7)*SIN(G315/$J$7)+COS($D$4/$J$7)*COS(G315/$J$7)*COS(J315/$J$7)</f>
        <v>0.13666201483851254</v>
      </c>
      <c r="L315" s="63">
        <f t="shared" si="13"/>
        <v>82.14526285113222</v>
      </c>
      <c r="M315" s="67">
        <f>IF(SIN(N315/$J$7)&gt;0,$J$7*ACOS((SIN($D$4/$J$7)-SIN(G315/$J$7)*O315)/(COS(G315/$J$7)*SIN(P315/$J$7))),360-($J$7*ACOS((SIN($D$4/$J$7)-SIN(G315/$J$7)*O315)/(COS(G315/$J$7)*SIN(P315/$J$7)))))</f>
        <v>324.2831488437563</v>
      </c>
      <c r="N315" s="68">
        <f>+F315-$D$3</f>
        <v>-136.06</v>
      </c>
      <c r="O315" s="69">
        <f>SIN(G315/$J$7)*SIN($D$4/$J$7)+COS(G315/$J$7)*COS($D$4/$J$7)*COS(N315/$J$7)</f>
        <v>0.13666201483851254</v>
      </c>
      <c r="P315" s="59">
        <f t="shared" si="14"/>
        <v>82.14526285113222</v>
      </c>
      <c r="Q315" s="38"/>
    </row>
    <row r="316" spans="1:17" ht="12" customHeight="1">
      <c r="A316" s="46">
        <f t="shared" si="12"/>
        <v>309</v>
      </c>
      <c r="B316" s="46" t="s">
        <v>662</v>
      </c>
      <c r="C316" s="46" t="s">
        <v>663</v>
      </c>
      <c r="D316" s="61" t="s">
        <v>70</v>
      </c>
      <c r="E316" s="61" t="s">
        <v>275</v>
      </c>
      <c r="F316" s="64">
        <v>86</v>
      </c>
      <c r="G316" s="64">
        <v>12</v>
      </c>
      <c r="H316" s="65">
        <f>IF(SIN(J316/$J$7)&gt;0,$J$7*ACOS((SIN(G316/$J$7)-SIN($D$4/$J$7)*K316)/(COS($D$4/$J$7)*SIN(L316/$J$7))),360-($J$7*ACOS((SIN(G316/$J$7)-SIN($D$4/$J$7)*K316)/(COS($D$4/$J$7)*SIN(L316/$J$7)))))</f>
        <v>126.01307251015136</v>
      </c>
      <c r="I316" s="66">
        <f>69.041*$J$7*(ACOS(SIN($D$4/$J$7)*SIN(G316/$J$7)+COS($D$4/$J$7)*COS(G316/$J$7)*COS(J316/$J$7)))</f>
        <v>2215.4823524243793</v>
      </c>
      <c r="J316" s="63">
        <f>+$D$3-F316</f>
        <v>26.060000000000002</v>
      </c>
      <c r="K316" s="63">
        <f>SIN($D$4/$J$7)*SIN(G316/$J$7)+COS($D$4/$J$7)*COS(G316/$J$7)*COS(J316/$J$7)</f>
        <v>0.8472204751304537</v>
      </c>
      <c r="L316" s="63">
        <f t="shared" si="13"/>
        <v>32.08937229217971</v>
      </c>
      <c r="M316" s="67">
        <f>IF(SIN(N316/$J$7)&gt;0,$J$7*ACOS((SIN($D$4/$J$7)-SIN(G316/$J$7)*O316)/(COS(G316/$J$7)*SIN(P316/$J$7))),360-($J$7*ACOS((SIN($D$4/$J$7)-SIN(G316/$J$7)*O316)/(COS(G316/$J$7)*SIN(P316/$J$7)))))</f>
        <v>316.43425455101305</v>
      </c>
      <c r="N316" s="68">
        <f>+F316-$D$3</f>
        <v>-26.060000000000002</v>
      </c>
      <c r="O316" s="69">
        <f>SIN(G316/$J$7)*SIN($D$4/$J$7)+COS(G316/$J$7)*COS($D$4/$J$7)*COS(N316/$J$7)</f>
        <v>0.8472204751304537</v>
      </c>
      <c r="P316" s="59">
        <f t="shared" si="14"/>
        <v>32.08937229217971</v>
      </c>
      <c r="Q316" s="38"/>
    </row>
    <row r="317" spans="1:17" ht="12" customHeight="1">
      <c r="A317" s="46">
        <f t="shared" si="12"/>
        <v>310</v>
      </c>
      <c r="B317" s="46" t="s">
        <v>664</v>
      </c>
      <c r="C317" s="46" t="s">
        <v>665</v>
      </c>
      <c r="D317" s="61" t="s">
        <v>13</v>
      </c>
      <c r="E317" s="61" t="s">
        <v>76</v>
      </c>
      <c r="F317" s="64">
        <f>-26.1</f>
        <v>-26.1</v>
      </c>
      <c r="G317" s="64">
        <v>44.4</v>
      </c>
      <c r="H317" s="65">
        <f>IF(SIN(J317/$J$7)&gt;0,$J$7*ACOS((SIN(G317/$J$7)-SIN($D$4/$J$7)*K317)/(COS($D$4/$J$7)*SIN(L317/$J$7))),360-($J$7*ACOS((SIN(G317/$J$7)-SIN($D$4/$J$7)*K317)/(COS($D$4/$J$7)*SIN(L317/$J$7)))))</f>
        <v>28.51346356712978</v>
      </c>
      <c r="I317" s="66">
        <f>69.041*$J$7*(ACOS(SIN($D$4/$J$7)*SIN(G317/$J$7)+COS($D$4/$J$7)*COS(G317/$J$7)*COS(J317/$J$7)))</f>
        <v>6439.0256484517295</v>
      </c>
      <c r="J317" s="63">
        <f>+$D$3-F317</f>
        <v>138.16</v>
      </c>
      <c r="K317" s="63">
        <f>SIN($D$4/$J$7)*SIN(G317/$J$7)+COS($D$4/$J$7)*COS(G317/$J$7)*COS(J317/$J$7)</f>
        <v>-0.05693316126495551</v>
      </c>
      <c r="L317" s="63">
        <f t="shared" si="13"/>
        <v>93.26379467927362</v>
      </c>
      <c r="M317" s="67">
        <f>IF(SIN(N317/$J$7)&gt;0,$J$7*ACOS((SIN($D$4/$J$7)-SIN(G317/$J$7)*O317)/(COS(G317/$J$7)*SIN(P317/$J$7))),360-($J$7*ACOS((SIN($D$4/$J$7)-SIN(G317/$J$7)*O317)/(COS(G317/$J$7)*SIN(P317/$J$7)))))</f>
        <v>326.16331865292307</v>
      </c>
      <c r="N317" s="68">
        <f>+F317-$D$3</f>
        <v>-138.16</v>
      </c>
      <c r="O317" s="69">
        <f>SIN(G317/$J$7)*SIN($D$4/$J$7)+COS(G317/$J$7)*COS($D$4/$J$7)*COS(N317/$J$7)</f>
        <v>-0.05693316126495551</v>
      </c>
      <c r="P317" s="59">
        <f t="shared" si="14"/>
        <v>93.26379467927362</v>
      </c>
      <c r="Q317" s="38"/>
    </row>
    <row r="318" spans="1:17" ht="12" customHeight="1">
      <c r="A318" s="46">
        <f t="shared" si="12"/>
        <v>311</v>
      </c>
      <c r="B318" s="46" t="s">
        <v>666</v>
      </c>
      <c r="C318" s="46" t="s">
        <v>667</v>
      </c>
      <c r="D318" s="61" t="s">
        <v>70</v>
      </c>
      <c r="E318" s="61" t="s">
        <v>275</v>
      </c>
      <c r="F318" s="64">
        <v>89</v>
      </c>
      <c r="G318" s="64">
        <v>14</v>
      </c>
      <c r="H318" s="65">
        <f>IF(SIN(J318/$J$7)&gt;0,$J$7*ACOS((SIN(G318/$J$7)-SIN($D$4/$J$7)*K318)/(COS($D$4/$J$7)*SIN(L318/$J$7))),360-($J$7*ACOS((SIN(G318/$J$7)-SIN($D$4/$J$7)*K318)/(COS($D$4/$J$7)*SIN(L318/$J$7)))))</f>
        <v>127.51426431418076</v>
      </c>
      <c r="I318" s="66">
        <f>69.041*$J$7*(ACOS(SIN($D$4/$J$7)*SIN(G318/$J$7)+COS($D$4/$J$7)*COS(G318/$J$7)*COS(J318/$J$7)))</f>
        <v>1976.6213186756117</v>
      </c>
      <c r="J318" s="63">
        <f>+$D$3-F318</f>
        <v>23.060000000000002</v>
      </c>
      <c r="K318" s="63">
        <f>SIN($D$4/$J$7)*SIN(G318/$J$7)+COS($D$4/$J$7)*COS(G318/$J$7)*COS(J318/$J$7)</f>
        <v>0.8777349393454367</v>
      </c>
      <c r="L318" s="63">
        <f t="shared" si="13"/>
        <v>28.629673942666123</v>
      </c>
      <c r="M318" s="67">
        <f>IF(SIN(N318/$J$7)&gt;0,$J$7*ACOS((SIN($D$4/$J$7)-SIN(G318/$J$7)*O318)/(COS(G318/$J$7)*SIN(P318/$J$7))),360-($J$7*ACOS((SIN($D$4/$J$7)-SIN(G318/$J$7)*O318)/(COS(G318/$J$7)*SIN(P318/$J$7)))))</f>
        <v>317.05509642439137</v>
      </c>
      <c r="N318" s="68">
        <f>+F318-$D$3</f>
        <v>-23.060000000000002</v>
      </c>
      <c r="O318" s="69">
        <f>SIN(G318/$J$7)*SIN($D$4/$J$7)+COS(G318/$J$7)*COS($D$4/$J$7)*COS(N318/$J$7)</f>
        <v>0.8777349393454367</v>
      </c>
      <c r="P318" s="59">
        <f t="shared" si="14"/>
        <v>28.629673942666123</v>
      </c>
      <c r="Q318" s="38"/>
    </row>
    <row r="319" spans="1:17" ht="12" customHeight="1">
      <c r="A319" s="46">
        <f t="shared" si="12"/>
        <v>312</v>
      </c>
      <c r="B319" s="46" t="s">
        <v>668</v>
      </c>
      <c r="C319" s="46" t="s">
        <v>669</v>
      </c>
      <c r="D319" s="61" t="s">
        <v>13</v>
      </c>
      <c r="E319" s="61" t="s">
        <v>14</v>
      </c>
      <c r="F319" s="64">
        <f>-20.5</f>
        <v>-20.5</v>
      </c>
      <c r="G319" s="64">
        <v>44.9</v>
      </c>
      <c r="H319" s="65">
        <f>IF(SIN(J319/$J$7)&gt;0,$J$7*ACOS((SIN(G319/$J$7)-SIN($D$4/$J$7)*K319)/(COS($D$4/$J$7)*SIN(L319/$J$7))),360-($J$7*ACOS((SIN(G319/$J$7)-SIN($D$4/$J$7)*K319)/(COS($D$4/$J$7)*SIN(L319/$J$7)))))</f>
        <v>31.450612772352578</v>
      </c>
      <c r="I319" s="66">
        <f>69.041*$J$7*(ACOS(SIN($D$4/$J$7)*SIN(G319/$J$7)+COS($D$4/$J$7)*COS(G319/$J$7)*COS(J319/$J$7)))</f>
        <v>6249.959717547658</v>
      </c>
      <c r="J319" s="63">
        <f>+$D$3-F319</f>
        <v>132.56</v>
      </c>
      <c r="K319" s="63">
        <f>SIN($D$4/$J$7)*SIN(G319/$J$7)+COS($D$4/$J$7)*COS(G319/$J$7)*COS(J319/$J$7)</f>
        <v>-0.009168713090921765</v>
      </c>
      <c r="L319" s="63">
        <f t="shared" si="13"/>
        <v>90.52533592427193</v>
      </c>
      <c r="M319" s="67">
        <f>IF(SIN(N319/$J$7)&gt;0,$J$7*ACOS((SIN($D$4/$J$7)-SIN(G319/$J$7)*O319)/(COS(G319/$J$7)*SIN(P319/$J$7))),360-($J$7*ACOS((SIN($D$4/$J$7)-SIN(G319/$J$7)*O319)/(COS(G319/$J$7)*SIN(P319/$J$7)))))</f>
        <v>322.1290077368275</v>
      </c>
      <c r="N319" s="68">
        <f>+F319-$D$3</f>
        <v>-132.56</v>
      </c>
      <c r="O319" s="69">
        <f>SIN(G319/$J$7)*SIN($D$4/$J$7)+COS(G319/$J$7)*COS($D$4/$J$7)*COS(N319/$J$7)</f>
        <v>-0.009168713090921765</v>
      </c>
      <c r="P319" s="59">
        <f t="shared" si="14"/>
        <v>90.52533592427193</v>
      </c>
      <c r="Q319" s="38"/>
    </row>
    <row r="320" spans="1:17" ht="12" customHeight="1">
      <c r="A320" s="46">
        <f t="shared" si="12"/>
        <v>313</v>
      </c>
      <c r="B320" s="46" t="s">
        <v>670</v>
      </c>
      <c r="C320" s="46" t="s">
        <v>671</v>
      </c>
      <c r="D320" s="61" t="s">
        <v>118</v>
      </c>
      <c r="E320" s="61" t="s">
        <v>119</v>
      </c>
      <c r="F320" s="64">
        <v>67</v>
      </c>
      <c r="G320" s="64">
        <v>10.5</v>
      </c>
      <c r="H320" s="65">
        <f>IF(SIN(J320/$J$7)&gt;0,$J$7*ACOS((SIN(G320/$J$7)-SIN($D$4/$J$7)*K320)/(COS($D$4/$J$7)*SIN(L320/$J$7))),360-($J$7*ACOS((SIN(G320/$J$7)-SIN($D$4/$J$7)*K320)/(COS($D$4/$J$7)*SIN(L320/$J$7)))))</f>
        <v>108.43291755023792</v>
      </c>
      <c r="I320" s="66">
        <f>69.041*$J$7*(ACOS(SIN($D$4/$J$7)*SIN(G320/$J$7)+COS($D$4/$J$7)*COS(G320/$J$7)*COS(J320/$J$7)))</f>
        <v>3258.173218663591</v>
      </c>
      <c r="J320" s="63">
        <f>+$D$3-F320</f>
        <v>45.06</v>
      </c>
      <c r="K320" s="63">
        <f>SIN($D$4/$J$7)*SIN(G320/$J$7)+COS($D$4/$J$7)*COS(G320/$J$7)*COS(J320/$J$7)</f>
        <v>0.6795455359598582</v>
      </c>
      <c r="L320" s="63">
        <f t="shared" si="13"/>
        <v>47.191860179655436</v>
      </c>
      <c r="M320" s="67">
        <f>IF(SIN(N320/$J$7)&gt;0,$J$7*ACOS((SIN($D$4/$J$7)-SIN(G320/$J$7)*O320)/(COS(G320/$J$7)*SIN(P320/$J$7))),360-($J$7*ACOS((SIN($D$4/$J$7)-SIN(G320/$J$7)*O320)/(COS(G320/$J$7)*SIN(P320/$J$7)))))</f>
        <v>306.4755555546829</v>
      </c>
      <c r="N320" s="68">
        <f>+F320-$D$3</f>
        <v>-45.06</v>
      </c>
      <c r="O320" s="69">
        <f>SIN(G320/$J$7)*SIN($D$4/$J$7)+COS(G320/$J$7)*COS($D$4/$J$7)*COS(N320/$J$7)</f>
        <v>0.6795455359598582</v>
      </c>
      <c r="P320" s="59">
        <f t="shared" si="14"/>
        <v>47.191860179655436</v>
      </c>
      <c r="Q320" s="38"/>
    </row>
    <row r="321" spans="1:17" ht="12" customHeight="1">
      <c r="A321" s="46">
        <f t="shared" si="12"/>
        <v>314</v>
      </c>
      <c r="B321" s="46" t="s">
        <v>672</v>
      </c>
      <c r="C321" s="46" t="s">
        <v>673</v>
      </c>
      <c r="D321" s="61" t="s">
        <v>70</v>
      </c>
      <c r="E321" s="61" t="s">
        <v>105</v>
      </c>
      <c r="F321" s="64">
        <v>67.5</v>
      </c>
      <c r="G321" s="64">
        <v>12</v>
      </c>
      <c r="H321" s="65">
        <f>IF(SIN(J321/$J$7)&gt;0,$J$7*ACOS((SIN(G321/$J$7)-SIN($D$4/$J$7)*K321)/(COS($D$4/$J$7)*SIN(L321/$J$7))),360-($J$7*ACOS((SIN(G321/$J$7)-SIN($D$4/$J$7)*K321)/(COS($D$4/$J$7)*SIN(L321/$J$7)))))</f>
        <v>107.15812013498333</v>
      </c>
      <c r="I321" s="66">
        <f>69.041*$J$7*(ACOS(SIN($D$4/$J$7)*SIN(G321/$J$7)+COS($D$4/$J$7)*COS(G321/$J$7)*COS(J321/$J$7)))</f>
        <v>3169.9182832741076</v>
      </c>
      <c r="J321" s="63">
        <f>+$D$3-F321</f>
        <v>44.56</v>
      </c>
      <c r="K321" s="63">
        <f>SIN($D$4/$J$7)*SIN(G321/$J$7)+COS($D$4/$J$7)*COS(G321/$J$7)*COS(J321/$J$7)</f>
        <v>0.6957427865490674</v>
      </c>
      <c r="L321" s="63">
        <f t="shared" si="13"/>
        <v>45.91356271308509</v>
      </c>
      <c r="M321" s="67">
        <f>IF(SIN(N321/$J$7)&gt;0,$J$7*ACOS((SIN($D$4/$J$7)-SIN(G321/$J$7)*O321)/(COS(G321/$J$7)*SIN(P321/$J$7))),360-($J$7*ACOS((SIN($D$4/$J$7)-SIN(G321/$J$7)*O321)/(COS(G321/$J$7)*SIN(P321/$J$7)))))</f>
        <v>305.50126628605085</v>
      </c>
      <c r="N321" s="68">
        <f>+F321-$D$3</f>
        <v>-44.56</v>
      </c>
      <c r="O321" s="69">
        <f>SIN(G321/$J$7)*SIN($D$4/$J$7)+COS(G321/$J$7)*COS($D$4/$J$7)*COS(N321/$J$7)</f>
        <v>0.6957427865490674</v>
      </c>
      <c r="P321" s="59">
        <f t="shared" si="14"/>
        <v>45.91356271308509</v>
      </c>
      <c r="Q321" s="38"/>
    </row>
    <row r="322" spans="1:17" ht="12" customHeight="1">
      <c r="A322" s="46">
        <f t="shared" si="12"/>
        <v>315</v>
      </c>
      <c r="B322" s="46" t="s">
        <v>674</v>
      </c>
      <c r="C322" s="46" t="s">
        <v>675</v>
      </c>
      <c r="D322" s="61" t="s">
        <v>24</v>
      </c>
      <c r="E322" s="61" t="s">
        <v>45</v>
      </c>
      <c r="F322" s="64">
        <f>-31</f>
        <v>-31</v>
      </c>
      <c r="G322" s="64">
        <f>-18</f>
        <v>-18</v>
      </c>
      <c r="H322" s="65">
        <f>IF(SIN(J322/$J$7)&gt;0,$J$7*ACOS((SIN(G322/$J$7)-SIN($D$4/$J$7)*K322)/(COS($D$4/$J$7)*SIN(L322/$J$7))),360-($J$7*ACOS((SIN(G322/$J$7)-SIN($D$4/$J$7)*K322)/(COS($D$4/$J$7)*SIN(L322/$J$7)))))</f>
        <v>74.12266367112558</v>
      </c>
      <c r="I322" s="66">
        <f>69.041*$J$7*(ACOS(SIN($D$4/$J$7)*SIN(G322/$J$7)+COS($D$4/$J$7)*COS(G322/$J$7)*COS(J322/$J$7)))</f>
        <v>9910.276775394263</v>
      </c>
      <c r="J322" s="63">
        <f>+$D$3-F322</f>
        <v>143.06</v>
      </c>
      <c r="K322" s="63">
        <f>SIN($D$4/$J$7)*SIN(G322/$J$7)+COS($D$4/$J$7)*COS(G322/$J$7)*COS(J322/$J$7)</f>
        <v>-0.8042917040706395</v>
      </c>
      <c r="L322" s="63">
        <f t="shared" si="13"/>
        <v>143.5419066264142</v>
      </c>
      <c r="M322" s="67">
        <f>IF(SIN(N322/$J$7)&gt;0,$J$7*ACOS((SIN($D$4/$J$7)-SIN(G322/$J$7)*O322)/(COS(G322/$J$7)*SIN(P322/$J$7))),360-($J$7*ACOS((SIN($D$4/$J$7)-SIN(G322/$J$7)*O322)/(COS(G322/$J$7)*SIN(P322/$J$7)))))</f>
        <v>302.5564413962398</v>
      </c>
      <c r="N322" s="68">
        <f>+F322-$D$3</f>
        <v>-143.06</v>
      </c>
      <c r="O322" s="69">
        <f>SIN(G322/$J$7)*SIN($D$4/$J$7)+COS(G322/$J$7)*COS($D$4/$J$7)*COS(N322/$J$7)</f>
        <v>-0.8042917040706395</v>
      </c>
      <c r="P322" s="59">
        <f t="shared" si="14"/>
        <v>143.5419066264142</v>
      </c>
      <c r="Q322" s="38"/>
    </row>
    <row r="323" spans="1:17" ht="12" customHeight="1">
      <c r="A323" s="46">
        <f t="shared" si="12"/>
        <v>316</v>
      </c>
      <c r="B323" s="46" t="s">
        <v>676</v>
      </c>
      <c r="C323" s="46" t="s">
        <v>677</v>
      </c>
      <c r="D323" s="61" t="s">
        <v>13</v>
      </c>
      <c r="E323" s="61" t="s">
        <v>14</v>
      </c>
      <c r="F323" s="64">
        <v>-20.5</v>
      </c>
      <c r="G323" s="64">
        <f>44+54/60</f>
        <v>44.9</v>
      </c>
      <c r="H323" s="65">
        <f>IF(SIN(J323/$J$7)&gt;0,$J$7*ACOS((SIN(G323/$J$7)-SIN($D$4/$J$7)*K323)/(COS($D$4/$J$7)*SIN(L323/$J$7))),360-($J$7*ACOS((SIN(G323/$J$7)-SIN($D$4/$J$7)*K323)/(COS($D$4/$J$7)*SIN(L323/$J$7)))))</f>
        <v>31.450612772352578</v>
      </c>
      <c r="I323" s="66">
        <f>69.041*$J$7*(ACOS(SIN($D$4/$J$7)*SIN(G323/$J$7)+COS($D$4/$J$7)*COS(G323/$J$7)*COS(J323/$J$7)))</f>
        <v>6249.959717547658</v>
      </c>
      <c r="J323" s="63">
        <f>+$D$3-F323</f>
        <v>132.56</v>
      </c>
      <c r="K323" s="63">
        <f>SIN($D$4/$J$7)*SIN(G323/$J$7)+COS($D$4/$J$7)*COS(G323/$J$7)*COS(J323/$J$7)</f>
        <v>-0.009168713090921765</v>
      </c>
      <c r="L323" s="63">
        <f t="shared" si="13"/>
        <v>90.52533592427193</v>
      </c>
      <c r="M323" s="67">
        <f>IF(SIN(N323/$J$7)&gt;0,$J$7*ACOS((SIN($D$4/$J$7)-SIN(G323/$J$7)*O323)/(COS(G323/$J$7)*SIN(P323/$J$7))),360-($J$7*ACOS((SIN($D$4/$J$7)-SIN(G323/$J$7)*O323)/(COS(G323/$J$7)*SIN(P323/$J$7)))))</f>
        <v>322.1290077368275</v>
      </c>
      <c r="N323" s="68">
        <f>+F323-$D$3</f>
        <v>-132.56</v>
      </c>
      <c r="O323" s="69">
        <f>SIN(G323/$J$7)*SIN($D$4/$J$7)+COS(G323/$J$7)*COS($D$4/$J$7)*COS(N323/$J$7)</f>
        <v>-0.009168713090921765</v>
      </c>
      <c r="P323" s="59">
        <f t="shared" si="14"/>
        <v>90.52533592427193</v>
      </c>
      <c r="Q323" s="38"/>
    </row>
    <row r="324" spans="1:17" ht="12" customHeight="1">
      <c r="A324" s="46">
        <f t="shared" si="12"/>
        <v>317</v>
      </c>
      <c r="B324" s="46" t="s">
        <v>678</v>
      </c>
      <c r="C324" s="46" t="s">
        <v>679</v>
      </c>
      <c r="D324" s="61" t="s">
        <v>13</v>
      </c>
      <c r="E324" s="61" t="s">
        <v>14</v>
      </c>
      <c r="F324" s="64">
        <f>-19.5</f>
        <v>-19.5</v>
      </c>
      <c r="G324" s="64">
        <v>41.5</v>
      </c>
      <c r="H324" s="65">
        <f>IF(SIN(J324/$J$7)&gt;0,$J$7*ACOS((SIN(G324/$J$7)-SIN($D$4/$J$7)*K324)/(COS($D$4/$J$7)*SIN(L324/$J$7))),360-($J$7*ACOS((SIN(G324/$J$7)-SIN($D$4/$J$7)*K324)/(COS($D$4/$J$7)*SIN(L324/$J$7)))))</f>
        <v>34.12900488423833</v>
      </c>
      <c r="I324" s="66">
        <f>69.041*$J$7*(ACOS(SIN($D$4/$J$7)*SIN(G324/$J$7)+COS($D$4/$J$7)*COS(G324/$J$7)*COS(J324/$J$7)))</f>
        <v>6403.158787995302</v>
      </c>
      <c r="J324" s="63">
        <f>+$D$3-F324</f>
        <v>131.56</v>
      </c>
      <c r="K324" s="63">
        <f>SIN($D$4/$J$7)*SIN(G324/$J$7)+COS($D$4/$J$7)*COS(G324/$J$7)*COS(J324/$J$7)</f>
        <v>-0.04787865093400734</v>
      </c>
      <c r="L324" s="63">
        <f t="shared" si="13"/>
        <v>92.74429379637175</v>
      </c>
      <c r="M324" s="67">
        <f>IF(SIN(N324/$J$7)&gt;0,$J$7*ACOS((SIN($D$4/$J$7)-SIN(G324/$J$7)*O324)/(COS(G324/$J$7)*SIN(P324/$J$7))),360-($J$7*ACOS((SIN($D$4/$J$7)-SIN(G324/$J$7)*O324)/(COS(G324/$J$7)*SIN(P324/$J$7)))))</f>
        <v>321.3677098027339</v>
      </c>
      <c r="N324" s="68">
        <f>+F324-$D$3</f>
        <v>-131.56</v>
      </c>
      <c r="O324" s="69">
        <f>SIN(G324/$J$7)*SIN($D$4/$J$7)+COS(G324/$J$7)*COS($D$4/$J$7)*COS(N324/$J$7)</f>
        <v>-0.04787865093400734</v>
      </c>
      <c r="P324" s="59">
        <f t="shared" si="14"/>
        <v>92.74429379637175</v>
      </c>
      <c r="Q324" s="38"/>
    </row>
    <row r="325" spans="1:17" ht="12" customHeight="1">
      <c r="A325" s="46">
        <f t="shared" si="12"/>
        <v>318</v>
      </c>
      <c r="B325" s="46" t="s">
        <v>680</v>
      </c>
      <c r="C325" s="46" t="s">
        <v>681</v>
      </c>
      <c r="D325" s="61" t="s">
        <v>13</v>
      </c>
      <c r="E325" s="61" t="s">
        <v>21</v>
      </c>
      <c r="F325" s="64">
        <v>5.5</v>
      </c>
      <c r="G325" s="64">
        <v>36</v>
      </c>
      <c r="H325" s="65">
        <f>IF(SIN(J325/$J$7)&gt;0,$J$7*ACOS((SIN(G325/$J$7)-SIN($D$4/$J$7)*K325)/(COS($D$4/$J$7)*SIN(L325/$J$7))),360-($J$7*ACOS((SIN(G325/$J$7)-SIN($D$4/$J$7)*K325)/(COS($D$4/$J$7)*SIN(L325/$J$7)))))</f>
        <v>51.47874626313158</v>
      </c>
      <c r="I325" s="66">
        <f>69.041*$J$7*(ACOS(SIN($D$4/$J$7)*SIN(G325/$J$7)+COS($D$4/$J$7)*COS(G325/$J$7)*COS(J325/$J$7)))</f>
        <v>5687.298790565565</v>
      </c>
      <c r="J325" s="63">
        <f>+$D$3-F325</f>
        <v>106.56</v>
      </c>
      <c r="K325" s="63">
        <f>SIN($D$4/$J$7)*SIN(G325/$J$7)+COS($D$4/$J$7)*COS(G325/$J$7)*COS(J325/$J$7)</f>
        <v>0.13267724709402579</v>
      </c>
      <c r="L325" s="63">
        <f t="shared" si="13"/>
        <v>82.37567228987942</v>
      </c>
      <c r="M325" s="67">
        <f>IF(SIN(N325/$J$7)&gt;0,$J$7*ACOS((SIN($D$4/$J$7)-SIN(G325/$J$7)*O325)/(COS(G325/$J$7)*SIN(P325/$J$7))),360-($J$7*ACOS((SIN($D$4/$J$7)-SIN(G325/$J$7)*O325)/(COS(G325/$J$7)*SIN(P325/$J$7)))))</f>
        <v>306.2968322946338</v>
      </c>
      <c r="N325" s="68">
        <f>+F325-$D$3</f>
        <v>-106.56</v>
      </c>
      <c r="O325" s="69">
        <f>SIN(G325/$J$7)*SIN($D$4/$J$7)+COS(G325/$J$7)*COS($D$4/$J$7)*COS(N325/$J$7)</f>
        <v>0.13267724709402579</v>
      </c>
      <c r="P325" s="59">
        <f t="shared" si="14"/>
        <v>82.37567228987942</v>
      </c>
      <c r="Q325" s="38"/>
    </row>
    <row r="326" spans="1:17" ht="12" customHeight="1">
      <c r="A326" s="46">
        <f t="shared" si="12"/>
        <v>319</v>
      </c>
      <c r="B326" s="46" t="s">
        <v>682</v>
      </c>
      <c r="C326" s="46" t="s">
        <v>683</v>
      </c>
      <c r="D326" s="61" t="s">
        <v>17</v>
      </c>
      <c r="E326" s="61" t="s">
        <v>76</v>
      </c>
      <c r="F326" s="64">
        <f>-33</f>
        <v>-33</v>
      </c>
      <c r="G326" s="64">
        <v>35</v>
      </c>
      <c r="H326" s="65">
        <f>IF(SIN(J326/$J$7)&gt;0,$J$7*ACOS((SIN(G326/$J$7)-SIN($D$4/$J$7)*K326)/(COS($D$4/$J$7)*SIN(L326/$J$7))),360-($J$7*ACOS((SIN(G326/$J$7)-SIN($D$4/$J$7)*K326)/(COS($D$4/$J$7)*SIN(L326/$J$7)))))</f>
        <v>28.920430889507614</v>
      </c>
      <c r="I326" s="66">
        <f>69.041*$J$7*(ACOS(SIN($D$4/$J$7)*SIN(G326/$J$7)+COS($D$4/$J$7)*COS(G326/$J$7)*COS(J326/$J$7)))</f>
        <v>7183.17883533578</v>
      </c>
      <c r="J326" s="63">
        <f>+$D$3-F326</f>
        <v>145.06</v>
      </c>
      <c r="K326" s="63">
        <f>SIN($D$4/$J$7)*SIN(G326/$J$7)+COS($D$4/$J$7)*COS(G326/$J$7)*COS(J326/$J$7)</f>
        <v>-0.24263680087761624</v>
      </c>
      <c r="L326" s="63">
        <f t="shared" si="13"/>
        <v>104.04221890377863</v>
      </c>
      <c r="M326" s="67">
        <f>IF(SIN(N326/$J$7)&gt;0,$J$7*ACOS((SIN($D$4/$J$7)-SIN(G326/$J$7)*O326)/(COS(G326/$J$7)*SIN(P326/$J$7))),360-($J$7*ACOS((SIN($D$4/$J$7)-SIN(G326/$J$7)*O326)/(COS(G326/$J$7)*SIN(P326/$J$7)))))</f>
        <v>330.52733793208466</v>
      </c>
      <c r="N326" s="68">
        <f>+F326-$D$3</f>
        <v>-145.06</v>
      </c>
      <c r="O326" s="69">
        <f>SIN(G326/$J$7)*SIN($D$4/$J$7)+COS(G326/$J$7)*COS($D$4/$J$7)*COS(N326/$J$7)</f>
        <v>-0.24263680087761624</v>
      </c>
      <c r="P326" s="59">
        <f t="shared" si="14"/>
        <v>104.04221890377863</v>
      </c>
      <c r="Q326" s="38"/>
    </row>
    <row r="327" spans="1:17" ht="12" customHeight="1">
      <c r="A327" s="46">
        <f t="shared" si="12"/>
        <v>320</v>
      </c>
      <c r="B327" s="46" t="s">
        <v>684</v>
      </c>
      <c r="C327" s="46" t="s">
        <v>685</v>
      </c>
      <c r="D327" s="61" t="s">
        <v>24</v>
      </c>
      <c r="E327" s="61" t="s">
        <v>32</v>
      </c>
      <c r="F327" s="64">
        <v>6</v>
      </c>
      <c r="G327" s="64">
        <f>-16</f>
        <v>-16</v>
      </c>
      <c r="H327" s="65">
        <f>IF(SIN(J327/$J$7)&gt;0,$J$7*ACOS((SIN(G327/$J$7)-SIN($D$4/$J$7)*K327)/(COS($D$4/$J$7)*SIN(L327/$J$7))),360-($J$7*ACOS((SIN(G327/$J$7)-SIN($D$4/$J$7)*K327)/(COS($D$4/$J$7)*SIN(L327/$J$7)))))</f>
        <v>95.11886728385113</v>
      </c>
      <c r="I327" s="66">
        <f>69.041*$J$7*(ACOS(SIN($D$4/$J$7)*SIN(G327/$J$7)+COS($D$4/$J$7)*COS(G327/$J$7)*COS(J327/$J$7)))</f>
        <v>7729.832308462732</v>
      </c>
      <c r="J327" s="63">
        <f>+$D$3-F327</f>
        <v>106.06</v>
      </c>
      <c r="K327" s="63">
        <f>SIN($D$4/$J$7)*SIN(G327/$J$7)+COS($D$4/$J$7)*COS(G327/$J$7)*COS(J327/$J$7)</f>
        <v>-0.3739596625635638</v>
      </c>
      <c r="L327" s="63">
        <f t="shared" si="13"/>
        <v>111.96002822182083</v>
      </c>
      <c r="M327" s="67">
        <f>IF(SIN(N327/$J$7)&gt;0,$J$7*ACOS((SIN($D$4/$J$7)-SIN(G327/$J$7)*O327)/(COS(G327/$J$7)*SIN(P327/$J$7))),360-($J$7*ACOS((SIN($D$4/$J$7)-SIN(G327/$J$7)*O327)/(COS(G327/$J$7)*SIN(P327/$J$7)))))</f>
        <v>300.28452658017085</v>
      </c>
      <c r="N327" s="68">
        <f>+F327-$D$3</f>
        <v>-106.06</v>
      </c>
      <c r="O327" s="69">
        <f>SIN(G327/$J$7)*SIN($D$4/$J$7)+COS(G327/$J$7)*COS($D$4/$J$7)*COS(N327/$J$7)</f>
        <v>-0.3739596625635638</v>
      </c>
      <c r="P327" s="59">
        <f t="shared" si="14"/>
        <v>111.96002822182083</v>
      </c>
      <c r="Q327" s="38"/>
    </row>
    <row r="328" spans="1:17" ht="12" customHeight="1">
      <c r="A328" s="46">
        <f t="shared" si="12"/>
        <v>321</v>
      </c>
      <c r="B328" s="46" t="s">
        <v>686</v>
      </c>
      <c r="C328" s="46" t="s">
        <v>687</v>
      </c>
      <c r="D328" s="61" t="s">
        <v>24</v>
      </c>
      <c r="E328" s="61" t="s">
        <v>32</v>
      </c>
      <c r="F328" s="64">
        <v>14</v>
      </c>
      <c r="G328" s="64">
        <f>-8</f>
        <v>-8</v>
      </c>
      <c r="H328" s="65">
        <f>IF(SIN(J328/$J$7)&gt;0,$J$7*ACOS((SIN(G328/$J$7)-SIN($D$4/$J$7)*K328)/(COS($D$4/$J$7)*SIN(L328/$J$7))),360-($J$7*ACOS((SIN(G328/$J$7)-SIN($D$4/$J$7)*K328)/(COS($D$4/$J$7)*SIN(L328/$J$7)))))</f>
        <v>92.29253381716607</v>
      </c>
      <c r="I328" s="66">
        <f>69.041*$J$7*(ACOS(SIN($D$4/$J$7)*SIN(G328/$J$7)+COS($D$4/$J$7)*COS(G328/$J$7)*COS(J328/$J$7)))</f>
        <v>6980.482286595815</v>
      </c>
      <c r="J328" s="63">
        <f>+$D$3-F328</f>
        <v>98.06</v>
      </c>
      <c r="K328" s="63">
        <f>SIN($D$4/$J$7)*SIN(G328/$J$7)+COS($D$4/$J$7)*COS(G328/$J$7)*COS(J328/$J$7)</f>
        <v>-0.1926304168802258</v>
      </c>
      <c r="L328" s="63">
        <f t="shared" si="13"/>
        <v>101.10633227496437</v>
      </c>
      <c r="M328" s="67">
        <f>IF(SIN(N328/$J$7)&gt;0,$J$7*ACOS((SIN($D$4/$J$7)-SIN(G328/$J$7)*O328)/(COS(G328/$J$7)*SIN(P328/$J$7))),360-($J$7*ACOS((SIN($D$4/$J$7)-SIN(G328/$J$7)*O328)/(COS(G328/$J$7)*SIN(P328/$J$7)))))</f>
        <v>302.7625406044672</v>
      </c>
      <c r="N328" s="68">
        <f>+F328-$D$3</f>
        <v>-98.06</v>
      </c>
      <c r="O328" s="69">
        <f>SIN(G328/$J$7)*SIN($D$4/$J$7)+COS(G328/$J$7)*COS($D$4/$J$7)*COS(N328/$J$7)</f>
        <v>-0.1926304168802258</v>
      </c>
      <c r="P328" s="59">
        <f t="shared" si="14"/>
        <v>101.10633227496437</v>
      </c>
      <c r="Q328" s="38"/>
    </row>
    <row r="329" spans="1:17" ht="12" customHeight="1">
      <c r="A329" s="46">
        <f t="shared" si="12"/>
        <v>322</v>
      </c>
      <c r="B329" s="46" t="s">
        <v>688</v>
      </c>
      <c r="C329" s="46" t="s">
        <v>689</v>
      </c>
      <c r="D329" s="61" t="s">
        <v>24</v>
      </c>
      <c r="E329" s="61" t="s">
        <v>45</v>
      </c>
      <c r="F329" s="64">
        <v>12.3</v>
      </c>
      <c r="G329" s="64">
        <f>-37</f>
        <v>-37</v>
      </c>
      <c r="H329" s="65">
        <f>IF(SIN(J329/$J$7)&gt;0,$J$7*ACOS((SIN(G329/$J$7)-SIN($D$4/$J$7)*K329)/(COS($D$4/$J$7)*SIN(L329/$J$7))),360-($J$7*ACOS((SIN(G329/$J$7)-SIN($D$4/$J$7)*K329)/(COS($D$4/$J$7)*SIN(L329/$J$7)))))</f>
        <v>118.46537500634876</v>
      </c>
      <c r="I329" s="66">
        <f>69.041*$J$7*(ACOS(SIN($D$4/$J$7)*SIN(G329/$J$7)+COS($D$4/$J$7)*COS(G329/$J$7)*COS(J329/$J$7)))</f>
        <v>8039.896246765579</v>
      </c>
      <c r="J329" s="63">
        <f>+$D$3-F329</f>
        <v>99.76</v>
      </c>
      <c r="K329" s="63">
        <f>SIN($D$4/$J$7)*SIN(G329/$J$7)+COS($D$4/$J$7)*COS(G329/$J$7)*COS(J329/$J$7)</f>
        <v>-0.44543291574138294</v>
      </c>
      <c r="L329" s="63">
        <f t="shared" si="13"/>
        <v>116.45103991491403</v>
      </c>
      <c r="M329" s="67">
        <f>IF(SIN(N329/$J$7)&gt;0,$J$7*ACOS((SIN($D$4/$J$7)-SIN(G329/$J$7)*O329)/(COS(G329/$J$7)*SIN(P329/$J$7))),360-($J$7*ACOS((SIN($D$4/$J$7)-SIN(G329/$J$7)*O329)/(COS(G329/$J$7)*SIN(P329/$J$7)))))</f>
        <v>293.45443774768717</v>
      </c>
      <c r="N329" s="68">
        <f>+F329-$D$3</f>
        <v>-99.76</v>
      </c>
      <c r="O329" s="69">
        <f>SIN(G329/$J$7)*SIN($D$4/$J$7)+COS(G329/$J$7)*COS($D$4/$J$7)*COS(N329/$J$7)</f>
        <v>-0.44543291574138294</v>
      </c>
      <c r="P329" s="59">
        <f t="shared" si="14"/>
        <v>116.45103991491403</v>
      </c>
      <c r="Q329" s="38"/>
    </row>
    <row r="330" spans="1:17" ht="12" customHeight="1">
      <c r="A330" s="46">
        <f t="shared" si="12"/>
        <v>323</v>
      </c>
      <c r="B330" s="46" t="s">
        <v>690</v>
      </c>
      <c r="C330" s="46" t="s">
        <v>691</v>
      </c>
      <c r="D330" s="61" t="s">
        <v>70</v>
      </c>
      <c r="E330" s="61" t="s">
        <v>105</v>
      </c>
      <c r="F330" s="64">
        <v>81.2</v>
      </c>
      <c r="G330" s="64">
        <v>19.5</v>
      </c>
      <c r="H330" s="65">
        <f>IF(SIN(J330/$J$7)&gt;0,$J$7*ACOS((SIN(G330/$J$7)-SIN($D$4/$J$7)*K330)/(COS($D$4/$J$7)*SIN(L330/$J$7))),360-($J$7*ACOS((SIN(G330/$J$7)-SIN($D$4/$J$7)*K330)/(COS($D$4/$J$7)*SIN(L330/$J$7)))))</f>
        <v>109.26680801413255</v>
      </c>
      <c r="I330" s="66">
        <f>69.041*$J$7*(ACOS(SIN($D$4/$J$7)*SIN(G330/$J$7)+COS($D$4/$J$7)*COS(G330/$J$7)*COS(J330/$J$7)))</f>
        <v>2127.223837640271</v>
      </c>
      <c r="J330" s="63">
        <f>+$D$3-F330</f>
        <v>30.86</v>
      </c>
      <c r="K330" s="63">
        <f>SIN($D$4/$J$7)*SIN(G330/$J$7)+COS($D$4/$J$7)*COS(G330/$J$7)*COS(J330/$J$7)</f>
        <v>0.8588613704834952</v>
      </c>
      <c r="L330" s="63">
        <f t="shared" si="13"/>
        <v>30.81102298113109</v>
      </c>
      <c r="M330" s="67">
        <f>IF(SIN(N330/$J$7)&gt;0,$J$7*ACOS((SIN($D$4/$J$7)-SIN(G330/$J$7)*O330)/(COS(G330/$J$7)*SIN(P330/$J$7))),360-($J$7*ACOS((SIN($D$4/$J$7)-SIN(G330/$J$7)*O330)/(COS(G330/$J$7)*SIN(P330/$J$7)))))</f>
        <v>303.4259885430108</v>
      </c>
      <c r="N330" s="68">
        <f>+F330-$D$3</f>
        <v>-30.86</v>
      </c>
      <c r="O330" s="69">
        <f>SIN(G330/$J$7)*SIN($D$4/$J$7)+COS(G330/$J$7)*COS($D$4/$J$7)*COS(N330/$J$7)</f>
        <v>0.8588613704834952</v>
      </c>
      <c r="P330" s="59">
        <f t="shared" si="14"/>
        <v>30.81102298113109</v>
      </c>
      <c r="Q330" s="38"/>
    </row>
    <row r="331" spans="1:17" ht="12" customHeight="1">
      <c r="A331" s="46">
        <f aca="true" t="shared" si="15" ref="A331:A340">1+A330</f>
        <v>324</v>
      </c>
      <c r="B331" s="46" t="s">
        <v>692</v>
      </c>
      <c r="C331" s="46" t="s">
        <v>693</v>
      </c>
      <c r="D331" s="61" t="s">
        <v>37</v>
      </c>
      <c r="E331" s="61" t="s">
        <v>38</v>
      </c>
      <c r="F331" s="64">
        <v>161</v>
      </c>
      <c r="G331" s="64">
        <f>-10.5</f>
        <v>-10.5</v>
      </c>
      <c r="H331" s="65">
        <f>IF(SIN(J331/$J$7)&gt;0,$J$7*ACOS((SIN(G331/$J$7)-SIN($D$4/$J$7)*K331)/(COS($D$4/$J$7)*SIN(L331/$J$7))),360-($J$7*ACOS((SIN(G331/$J$7)-SIN($D$4/$J$7)*K331)/(COS($D$4/$J$7)*SIN(L331/$J$7)))))</f>
        <v>235.53850155666223</v>
      </c>
      <c r="I331" s="66">
        <f>69.041*$J$7*(ACOS(SIN($D$4/$J$7)*SIN(G331/$J$7)+COS($D$4/$J$7)*COS(G331/$J$7)*COS(J331/$J$7)))</f>
        <v>4422.286591369161</v>
      </c>
      <c r="J331" s="63">
        <f>+$D$3-F331</f>
        <v>-48.94</v>
      </c>
      <c r="K331" s="63">
        <f>SIN($D$4/$J$7)*SIN(G331/$J$7)+COS($D$4/$J$7)*COS(G331/$J$7)*COS(J331/$J$7)</f>
        <v>0.43753877579724937</v>
      </c>
      <c r="L331" s="63">
        <f aca="true" t="shared" si="16" ref="L331:L341">+$J$7*ACOS(K331)</f>
        <v>64.05304951216179</v>
      </c>
      <c r="M331" s="67">
        <f>IF(SIN(N331/$J$7)&gt;0,$J$7*ACOS((SIN($D$4/$J$7)-SIN(G331/$J$7)*O331)/(COS(G331/$J$7)*SIN(P331/$J$7))),360-($J$7*ACOS((SIN($D$4/$J$7)-SIN(G331/$J$7)*O331)/(COS(G331/$J$7)*SIN(P331/$J$7)))))</f>
        <v>44.33475453360011</v>
      </c>
      <c r="N331" s="68">
        <f>+F331-$D$3</f>
        <v>48.94</v>
      </c>
      <c r="O331" s="69">
        <f>SIN(G331/$J$7)*SIN($D$4/$J$7)+COS(G331/$J$7)*COS($D$4/$J$7)*COS(N331/$J$7)</f>
        <v>0.43753877579724937</v>
      </c>
      <c r="P331" s="59">
        <f t="shared" si="14"/>
        <v>64.05304951216179</v>
      </c>
      <c r="Q331" s="38"/>
    </row>
    <row r="332" spans="1:17" ht="12" customHeight="1">
      <c r="A332" s="46">
        <f t="shared" si="15"/>
        <v>325</v>
      </c>
      <c r="B332" s="46" t="s">
        <v>694</v>
      </c>
      <c r="C332" s="46" t="s">
        <v>695</v>
      </c>
      <c r="D332" s="61" t="s">
        <v>37</v>
      </c>
      <c r="E332" s="61" t="s">
        <v>38</v>
      </c>
      <c r="F332" s="64">
        <v>159.5</v>
      </c>
      <c r="G332" s="64">
        <f>-21</f>
        <v>-21</v>
      </c>
      <c r="H332" s="65">
        <f>IF(SIN(J332/$J$7)&gt;0,$J$7*ACOS((SIN(G332/$J$7)-SIN($D$4/$J$7)*K332)/(COS($D$4/$J$7)*SIN(L332/$J$7))),360-($J$7*ACOS((SIN(G332/$J$7)-SIN($D$4/$J$7)*K332)/(COS($D$4/$J$7)*SIN(L332/$J$7)))))</f>
        <v>226.71619501703427</v>
      </c>
      <c r="I332" s="66">
        <f>69.041*$J$7*(ACOS(SIN($D$4/$J$7)*SIN(G332/$J$7)+COS($D$4/$J$7)*COS(G332/$J$7)*COS(J332/$J$7)))</f>
        <v>4890.954232392359</v>
      </c>
      <c r="J332" s="63">
        <f>+$D$3-F332</f>
        <v>-47.44</v>
      </c>
      <c r="K332" s="63">
        <f>SIN($D$4/$J$7)*SIN(G332/$J$7)+COS($D$4/$J$7)*COS(G332/$J$7)*COS(J332/$J$7)</f>
        <v>0.32818582572405947</v>
      </c>
      <c r="L332" s="63">
        <f t="shared" si="16"/>
        <v>70.84130056621949</v>
      </c>
      <c r="M332" s="67">
        <f>IF(SIN(N332/$J$7)&gt;0,$J$7*ACOS((SIN($D$4/$J$7)-SIN(G332/$J$7)*O332)/(COS(G332/$J$7)*SIN(P332/$J$7))),360-($J$7*ACOS((SIN($D$4/$J$7)-SIN(G332/$J$7)*O332)/(COS(G332/$J$7)*SIN(P332/$J$7)))))</f>
        <v>40.53052835787025</v>
      </c>
      <c r="N332" s="68">
        <f>+F332-$D$3</f>
        <v>47.44</v>
      </c>
      <c r="O332" s="69">
        <f>SIN(G332/$J$7)*SIN($D$4/$J$7)+COS(G332/$J$7)*COS($D$4/$J$7)*COS(N332/$J$7)</f>
        <v>0.32818582572405947</v>
      </c>
      <c r="P332" s="59">
        <f t="shared" si="14"/>
        <v>70.84130056621949</v>
      </c>
      <c r="Q332" s="38"/>
    </row>
    <row r="333" spans="1:17" ht="12" customHeight="1">
      <c r="A333" s="46">
        <f t="shared" si="15"/>
        <v>326</v>
      </c>
      <c r="B333" s="46" t="s">
        <v>696</v>
      </c>
      <c r="C333" s="46" t="s">
        <v>697</v>
      </c>
      <c r="D333" s="61" t="s">
        <v>37</v>
      </c>
      <c r="E333" s="61" t="s">
        <v>38</v>
      </c>
      <c r="F333" s="64">
        <v>170</v>
      </c>
      <c r="G333" s="64">
        <f>-19</f>
        <v>-19</v>
      </c>
      <c r="H333" s="65">
        <f>IF(SIN(J333/$J$7)&gt;0,$J$7*ACOS((SIN(G333/$J$7)-SIN($D$4/$J$7)*K333)/(COS($D$4/$J$7)*SIN(L333/$J$7))),360-($J$7*ACOS((SIN(G333/$J$7)-SIN($D$4/$J$7)*K333)/(COS($D$4/$J$7)*SIN(L333/$J$7)))))</f>
        <v>235.5985366224435</v>
      </c>
      <c r="I333" s="66">
        <f>69.041*$J$7*(ACOS(SIN($D$4/$J$7)*SIN(G333/$J$7)+COS($D$4/$J$7)*COS(G333/$J$7)*COS(J333/$J$7)))</f>
        <v>5261.69031409805</v>
      </c>
      <c r="J333" s="63">
        <f>+$D$3-F333</f>
        <v>-57.94</v>
      </c>
      <c r="K333" s="63">
        <f>SIN($D$4/$J$7)*SIN(G333/$J$7)+COS($D$4/$J$7)*COS(G333/$J$7)*COS(J333/$J$7)</f>
        <v>0.23834537292561842</v>
      </c>
      <c r="L333" s="63">
        <f t="shared" si="16"/>
        <v>76.21109650929232</v>
      </c>
      <c r="M333" s="67">
        <f>IF(SIN(N333/$J$7)&gt;0,$J$7*ACOS((SIN($D$4/$J$7)-SIN(G333/$J$7)*O333)/(COS(G333/$J$7)*SIN(P333/$J$7))),360-($J$7*ACOS((SIN($D$4/$J$7)-SIN(G333/$J$7)*O333)/(COS(G333/$J$7)*SIN(P333/$J$7)))))</f>
        <v>46.657435341090114</v>
      </c>
      <c r="N333" s="68">
        <f>+F333-$D$3</f>
        <v>57.94</v>
      </c>
      <c r="O333" s="69">
        <f>SIN(G333/$J$7)*SIN($D$4/$J$7)+COS(G333/$J$7)*COS($D$4/$J$7)*COS(N333/$J$7)</f>
        <v>0.23834537292561842</v>
      </c>
      <c r="P333" s="59">
        <f aca="true" t="shared" si="17" ref="P333:P341">$J$7*ACOS(O333)</f>
        <v>76.21109650929232</v>
      </c>
      <c r="Q333" s="38"/>
    </row>
    <row r="334" spans="1:17" ht="12" customHeight="1">
      <c r="A334" s="46">
        <f t="shared" si="15"/>
        <v>327</v>
      </c>
      <c r="B334" s="46" t="s">
        <v>698</v>
      </c>
      <c r="C334" s="46" t="s">
        <v>699</v>
      </c>
      <c r="D334" s="61" t="s">
        <v>37</v>
      </c>
      <c r="E334" s="61" t="s">
        <v>177</v>
      </c>
      <c r="F334" s="64">
        <v>172.7</v>
      </c>
      <c r="G334" s="64">
        <f>-8.4</f>
        <v>-8.4</v>
      </c>
      <c r="H334" s="65">
        <f>IF(SIN(J334/$J$7)&gt;0,$J$7*ACOS((SIN(G334/$J$7)-SIN($D$4/$J$7)*K334)/(COS($D$4/$J$7)*SIN(L334/$J$7))),360-($J$7*ACOS((SIN(G334/$J$7)-SIN($D$4/$J$7)*K334)/(COS($D$4/$J$7)*SIN(L334/$J$7)))))</f>
        <v>245.67202194323283</v>
      </c>
      <c r="I334" s="66">
        <f>69.041*$J$7*(ACOS(SIN($D$4/$J$7)*SIN(G334/$J$7)+COS($D$4/$J$7)*COS(G334/$J$7)*COS(J334/$J$7)))</f>
        <v>4910.578218481585</v>
      </c>
      <c r="J334" s="63">
        <f>+$D$3-F334</f>
        <v>-60.639999999999986</v>
      </c>
      <c r="K334" s="63">
        <f>SIN($D$4/$J$7)*SIN(G334/$J$7)+COS($D$4/$J$7)*COS(G334/$J$7)*COS(J334/$J$7)</f>
        <v>0.32349570690135354</v>
      </c>
      <c r="L334" s="63">
        <f t="shared" si="16"/>
        <v>71.12553726744378</v>
      </c>
      <c r="M334" s="67">
        <f>IF(SIN(N334/$J$7)&gt;0,$J$7*ACOS((SIN($D$4/$J$7)-SIN(G334/$J$7)*O334)/(COS(G334/$J$7)*SIN(P334/$J$7))),360-($J$7*ACOS((SIN($D$4/$J$7)-SIN(G334/$J$7)*O334)/(COS(G334/$J$7)*SIN(P334/$J$7)))))</f>
        <v>50.14192951929557</v>
      </c>
      <c r="N334" s="68">
        <f>+F334-$D$3</f>
        <v>60.639999999999986</v>
      </c>
      <c r="O334" s="69">
        <f>SIN(G334/$J$7)*SIN($D$4/$J$7)+COS(G334/$J$7)*COS($D$4/$J$7)*COS(N334/$J$7)</f>
        <v>0.32349570690135354</v>
      </c>
      <c r="P334" s="59">
        <f t="shared" si="17"/>
        <v>71.12553726744378</v>
      </c>
      <c r="Q334" s="38"/>
    </row>
    <row r="335" spans="1:17" ht="12" customHeight="1">
      <c r="A335" s="46">
        <f t="shared" si="15"/>
        <v>328</v>
      </c>
      <c r="B335" s="46" t="s">
        <v>700</v>
      </c>
      <c r="C335" s="46" t="s">
        <v>701</v>
      </c>
      <c r="D335" s="61" t="s">
        <v>37</v>
      </c>
      <c r="E335" s="61" t="s">
        <v>38</v>
      </c>
      <c r="F335" s="64">
        <f>-174.8</f>
        <v>-174.8</v>
      </c>
      <c r="G335" s="64">
        <f>-41</f>
        <v>-41</v>
      </c>
      <c r="H335" s="65">
        <f>IF(SIN(J335/$J$7)&gt;0,$J$7*ACOS((SIN(G335/$J$7)-SIN($D$4/$J$7)*K335)/(COS($D$4/$J$7)*SIN(L335/$J$7))),360-($J$7*ACOS((SIN(G335/$J$7)-SIN($D$4/$J$7)*K335)/(COS($D$4/$J$7)*SIN(L335/$J$7)))))</f>
        <v>227.2467165650528</v>
      </c>
      <c r="I335" s="66">
        <f>69.041*$J$7*(ACOS(SIN($D$4/$J$7)*SIN(G335/$J$7)+COS($D$4/$J$7)*COS(G335/$J$7)*COS(J335/$J$7)))</f>
        <v>6930.253788273276</v>
      </c>
      <c r="J335" s="63">
        <f>+$D$3-F335</f>
        <v>286.86</v>
      </c>
      <c r="K335" s="63">
        <f>SIN($D$4/$J$7)*SIN(G335/$J$7)+COS($D$4/$J$7)*COS(G335/$J$7)*COS(J335/$J$7)</f>
        <v>-0.1801554647682182</v>
      </c>
      <c r="L335" s="63">
        <f t="shared" si="16"/>
        <v>100.37881531659849</v>
      </c>
      <c r="M335" s="67">
        <f>IF(SIN(N335/$J$7)&gt;0,$J$7*ACOS((SIN($D$4/$J$7)-SIN(G335/$J$7)*O335)/(COS(G335/$J$7)*SIN(P335/$J$7))),360-($J$7*ACOS((SIN($D$4/$J$7)-SIN(G335/$J$7)*O335)/(COS(G335/$J$7)*SIN(P335/$J$7)))))</f>
        <v>54.17887033222382</v>
      </c>
      <c r="N335" s="68">
        <f>+F335-$D$3</f>
        <v>-286.86</v>
      </c>
      <c r="O335" s="69">
        <f>SIN(G335/$J$7)*SIN($D$4/$J$7)+COS(G335/$J$7)*COS($D$4/$J$7)*COS(N335/$J$7)</f>
        <v>-0.1801554647682182</v>
      </c>
      <c r="P335" s="59">
        <f t="shared" si="17"/>
        <v>100.37881531659849</v>
      </c>
      <c r="Q335" s="38"/>
    </row>
    <row r="336" spans="1:17" ht="12" customHeight="1">
      <c r="A336" s="46">
        <f t="shared" si="15"/>
        <v>329</v>
      </c>
      <c r="B336" s="46" t="s">
        <v>702</v>
      </c>
      <c r="C336" s="46" t="s">
        <v>703</v>
      </c>
      <c r="D336" s="61" t="s">
        <v>37</v>
      </c>
      <c r="E336" s="61" t="s">
        <v>38</v>
      </c>
      <c r="F336" s="64">
        <v>176</v>
      </c>
      <c r="G336" s="64">
        <f>-44</f>
        <v>-44</v>
      </c>
      <c r="H336" s="65">
        <f>IF(SIN(J336/$J$7)&gt;0,$J$7*ACOS((SIN(G336/$J$7)-SIN($D$4/$J$7)*K336)/(COS($D$4/$J$7)*SIN(L336/$J$7))),360-($J$7*ACOS((SIN(G336/$J$7)-SIN($D$4/$J$7)*K336)/(COS($D$4/$J$7)*SIN(L336/$J$7)))))</f>
        <v>220.613614507728</v>
      </c>
      <c r="I336" s="66">
        <f>69.041*$J$7*(ACOS(SIN($D$4/$J$7)*SIN(G336/$J$7)+COS($D$4/$J$7)*COS(G336/$J$7)*COS(J336/$J$7)))</f>
        <v>6691.699878922041</v>
      </c>
      <c r="J336" s="63">
        <f>+$D$3-F336</f>
        <v>-63.94</v>
      </c>
      <c r="K336" s="63">
        <f>SIN($D$4/$J$7)*SIN(G336/$J$7)+COS($D$4/$J$7)*COS(G336/$J$7)*COS(J336/$J$7)</f>
        <v>-0.12054514365614483</v>
      </c>
      <c r="L336" s="63">
        <f t="shared" si="16"/>
        <v>96.92356540203707</v>
      </c>
      <c r="M336" s="67">
        <f>IF(SIN(N336/$J$7)&gt;0,$J$7*ACOS((SIN($D$4/$J$7)-SIN(G336/$J$7)*O336)/(COS(G336/$J$7)*SIN(P336/$J$7))),360-($J$7*ACOS((SIN($D$4/$J$7)-SIN(G336/$J$7)*O336)/(COS(G336/$J$7)*SIN(P336/$J$7)))))</f>
        <v>48.95333375056978</v>
      </c>
      <c r="N336" s="68">
        <f>+F336-$D$3</f>
        <v>63.94</v>
      </c>
      <c r="O336" s="69">
        <f>SIN(G336/$J$7)*SIN($D$4/$J$7)+COS(G336/$J$7)*COS($D$4/$J$7)*COS(N336/$J$7)</f>
        <v>-0.12054514365614483</v>
      </c>
      <c r="P336" s="59">
        <f t="shared" si="17"/>
        <v>96.92356540203707</v>
      </c>
      <c r="Q336" s="38"/>
    </row>
    <row r="337" spans="1:17" ht="12" customHeight="1">
      <c r="A337" s="46">
        <f t="shared" si="15"/>
        <v>330</v>
      </c>
      <c r="B337" s="46" t="s">
        <v>704</v>
      </c>
      <c r="C337" s="46" t="s">
        <v>705</v>
      </c>
      <c r="D337" s="61" t="s">
        <v>37</v>
      </c>
      <c r="E337" s="61" t="s">
        <v>38</v>
      </c>
      <c r="F337" s="64">
        <v>178</v>
      </c>
      <c r="G337" s="64">
        <f>-30</f>
        <v>-30</v>
      </c>
      <c r="H337" s="65">
        <f>IF(SIN(J337/$J$7)&gt;0,$J$7*ACOS((SIN(G337/$J$7)-SIN($D$4/$J$7)*K337)/(COS($D$4/$J$7)*SIN(L337/$J$7))),360-($J$7*ACOS((SIN(G337/$J$7)-SIN($D$4/$J$7)*K337)/(COS($D$4/$J$7)*SIN(L337/$J$7)))))</f>
        <v>232.27075275182565</v>
      </c>
      <c r="I337" s="66">
        <f>69.041*$J$7*(ACOS(SIN($D$4/$J$7)*SIN(G337/$J$7)+COS($D$4/$J$7)*COS(G337/$J$7)*COS(J337/$J$7)))</f>
        <v>6142.799827565388</v>
      </c>
      <c r="J337" s="63">
        <f>+$D$3-F337</f>
        <v>-65.94</v>
      </c>
      <c r="K337" s="63">
        <f>SIN($D$4/$J$7)*SIN(G337/$J$7)+COS($D$4/$J$7)*COS(G337/$J$7)*COS(J337/$J$7)</f>
        <v>0.017919796815245914</v>
      </c>
      <c r="L337" s="63">
        <f t="shared" si="16"/>
        <v>88.97321631444197</v>
      </c>
      <c r="M337" s="67">
        <f>IF(SIN(N337/$J$7)&gt;0,$J$7*ACOS((SIN($D$4/$J$7)-SIN(G337/$J$7)*O337)/(COS(G337/$J$7)*SIN(P337/$J$7))),360-($J$7*ACOS((SIN($D$4/$J$7)-SIN(G337/$J$7)*O337)/(COS(G337/$J$7)*SIN(P337/$J$7)))))</f>
        <v>49.56295687721501</v>
      </c>
      <c r="N337" s="68">
        <f>+F337-$D$3</f>
        <v>65.94</v>
      </c>
      <c r="O337" s="69">
        <f>SIN(G337/$J$7)*SIN($D$4/$J$7)+COS(G337/$J$7)*COS($D$4/$J$7)*COS(N337/$J$7)</f>
        <v>0.017919796815245914</v>
      </c>
      <c r="P337" s="59">
        <f t="shared" si="17"/>
        <v>88.97321631444197</v>
      </c>
      <c r="Q337" s="38"/>
    </row>
    <row r="338" spans="1:17" ht="12" customHeight="1">
      <c r="A338" s="46">
        <f t="shared" si="15"/>
        <v>331</v>
      </c>
      <c r="B338" s="46" t="s">
        <v>706</v>
      </c>
      <c r="C338" s="46" t="s">
        <v>707</v>
      </c>
      <c r="D338" s="61" t="s">
        <v>37</v>
      </c>
      <c r="E338" s="61" t="s">
        <v>38</v>
      </c>
      <c r="F338" s="64">
        <v>169</v>
      </c>
      <c r="G338" s="64">
        <f>-52.5</f>
        <v>-52.5</v>
      </c>
      <c r="H338" s="65">
        <f>IF(SIN(J338/$J$7)&gt;0,$J$7*ACOS((SIN(G338/$J$7)-SIN($D$4/$J$7)*K338)/(COS($D$4/$J$7)*SIN(L338/$J$7))),360-($J$7*ACOS((SIN(G338/$J$7)-SIN($D$4/$J$7)*K338)/(COS($D$4/$J$7)*SIN(L338/$J$7)))))</f>
        <v>211.13163787421797</v>
      </c>
      <c r="I338" s="66">
        <f>69.041*$J$7*(ACOS(SIN($D$4/$J$7)*SIN(G338/$J$7)+COS($D$4/$J$7)*COS(G338/$J$7)*COS(J338/$J$7)))</f>
        <v>6856.130268125627</v>
      </c>
      <c r="J338" s="63">
        <f>+$D$3-F338</f>
        <v>-56.94</v>
      </c>
      <c r="K338" s="63">
        <f>SIN($D$4/$J$7)*SIN(G338/$J$7)+COS($D$4/$J$7)*COS(G338/$J$7)*COS(J338/$J$7)</f>
        <v>-0.16169337337676548</v>
      </c>
      <c r="L338" s="63">
        <f t="shared" si="16"/>
        <v>99.30519934713614</v>
      </c>
      <c r="M338" s="67">
        <f>IF(SIN(N338/$J$7)&gt;0,$J$7*ACOS((SIN($D$4/$J$7)-SIN(G338/$J$7)*O338)/(COS(G338/$J$7)*SIN(P338/$J$7))),360-($J$7*ACOS((SIN($D$4/$J$7)-SIN(G338/$J$7)*O338)/(COS(G338/$J$7)*SIN(P338/$J$7)))))</f>
        <v>45.05533300044386</v>
      </c>
      <c r="N338" s="68">
        <f>+F338-$D$3</f>
        <v>56.94</v>
      </c>
      <c r="O338" s="69">
        <f>SIN(G338/$J$7)*SIN($D$4/$J$7)+COS(G338/$J$7)*COS($D$4/$J$7)*COS(N338/$J$7)</f>
        <v>-0.16169337337676548</v>
      </c>
      <c r="P338" s="59">
        <f t="shared" si="17"/>
        <v>99.30519934713614</v>
      </c>
      <c r="Q338" s="38"/>
    </row>
    <row r="339" spans="1:17" ht="11.25" customHeight="1">
      <c r="A339" s="46">
        <f t="shared" si="15"/>
        <v>332</v>
      </c>
      <c r="B339" s="46" t="s">
        <v>708</v>
      </c>
      <c r="C339" s="46" t="s">
        <v>709</v>
      </c>
      <c r="D339" s="61" t="s">
        <v>118</v>
      </c>
      <c r="E339" s="61" t="s">
        <v>461</v>
      </c>
      <c r="F339" s="64">
        <v>57.7</v>
      </c>
      <c r="G339" s="64">
        <f>-25</f>
        <v>-25</v>
      </c>
      <c r="H339" s="65">
        <f>IF(SIN(J339/$J$7)&gt;0,$J$7*ACOS((SIN(G339/$J$7)-SIN($D$4/$J$7)*K339)/(COS($D$4/$J$7)*SIN(L339/$J$7))),360-($J$7*ACOS((SIN(G339/$J$7)-SIN($D$4/$J$7)*K339)/(COS($D$4/$J$7)*SIN(L339/$J$7)))))</f>
        <v>131.1678532573406</v>
      </c>
      <c r="I339" s="66">
        <f>69.041*$J$7*(ACOS(SIN($D$4/$J$7)*SIN(G339/$J$7)+COS($D$4/$J$7)*COS(G339/$J$7)*COS(J339/$J$7)))</f>
        <v>5390.696346680401</v>
      </c>
      <c r="J339" s="63">
        <f>+$D$3-F339</f>
        <v>54.36</v>
      </c>
      <c r="K339" s="63">
        <f>SIN($D$4/$J$7)*SIN(G339/$J$7)+COS($D$4/$J$7)*COS(G339/$J$7)*COS(J339/$J$7)</f>
        <v>0.20655190402589352</v>
      </c>
      <c r="L339" s="63">
        <f t="shared" si="16"/>
        <v>78.07963886213122</v>
      </c>
      <c r="M339" s="67">
        <f>IF(SIN(N339/$J$7)&gt;0,$J$7*ACOS((SIN($D$4/$J$7)-SIN(G339/$J$7)*O339)/(COS(G339/$J$7)*SIN(P339/$J$7))),360-($J$7*ACOS((SIN($D$4/$J$7)-SIN(G339/$J$7)*O339)/(COS(G339/$J$7)*SIN(P339/$J$7)))))</f>
        <v>316.1931120718181</v>
      </c>
      <c r="N339" s="68">
        <f>+F339-$D$3</f>
        <v>-54.36</v>
      </c>
      <c r="O339" s="69">
        <f>SIN(G339/$J$7)*SIN($D$4/$J$7)+COS(G339/$J$7)*COS($D$4/$J$7)*COS(N339/$J$7)</f>
        <v>0.20655190402589352</v>
      </c>
      <c r="P339" s="59">
        <f t="shared" si="17"/>
        <v>78.07963886213122</v>
      </c>
      <c r="Q339" s="38"/>
    </row>
    <row r="340" spans="1:17" ht="12" customHeight="1">
      <c r="A340" s="46">
        <f t="shared" si="15"/>
        <v>333</v>
      </c>
      <c r="B340" s="46" t="s">
        <v>710</v>
      </c>
      <c r="C340" s="46" t="s">
        <v>711</v>
      </c>
      <c r="D340" s="61" t="s">
        <v>24</v>
      </c>
      <c r="E340" s="61" t="s">
        <v>45</v>
      </c>
      <c r="F340" s="64">
        <f>-18.4</f>
        <v>-18.4</v>
      </c>
      <c r="G340" s="64">
        <f>-33.9</f>
        <v>-33.9</v>
      </c>
      <c r="H340" s="65">
        <f>IF(SIN(J340/$J$7)&gt;0,$J$7*ACOS((SIN(G340/$J$7)-SIN($D$4/$J$7)*K340)/(COS($D$4/$J$7)*SIN(L340/$J$7))),360-($J$7*ACOS((SIN(G340/$J$7)-SIN($D$4/$J$7)*K340)/(COS($D$4/$J$7)*SIN(L340/$J$7)))))</f>
        <v>104.82555490151125</v>
      </c>
      <c r="I340" s="66">
        <f>69.041*$J$7*(ACOS(SIN($D$4/$J$7)*SIN(G340/$J$7)+COS($D$4/$J$7)*COS(G340/$J$7)*COS(J340/$J$7)))</f>
        <v>9611.292811100917</v>
      </c>
      <c r="J340" s="63">
        <f>+$D$3-F340</f>
        <v>130.46</v>
      </c>
      <c r="K340" s="63">
        <f>SIN($D$4/$J$7)*SIN(G340/$J$7)+COS($D$4/$J$7)*COS(G340/$J$7)*COS(J340/$J$7)</f>
        <v>-0.7571248096544088</v>
      </c>
      <c r="L340" s="63">
        <f t="shared" si="16"/>
        <v>139.21137890674987</v>
      </c>
      <c r="M340" s="67">
        <f>IF(SIN(N340/$J$7)&gt;0,$J$7*ACOS((SIN($D$4/$J$7)-SIN(G340/$J$7)*O340)/(COS(G340/$J$7)*SIN(P340/$J$7))),360-($J$7*ACOS((SIN($D$4/$J$7)-SIN(G340/$J$7)*O340)/(COS(G340/$J$7)*SIN(P340/$J$7)))))</f>
        <v>283.9135865273554</v>
      </c>
      <c r="N340" s="68">
        <f>+F340-$D$3</f>
        <v>-130.46</v>
      </c>
      <c r="O340" s="69">
        <f>SIN(G340/$J$7)*SIN($D$4/$J$7)+COS(G340/$J$7)*COS($D$4/$J$7)*COS(N340/$J$7)</f>
        <v>-0.7571248096544088</v>
      </c>
      <c r="P340" s="59">
        <f t="shared" si="17"/>
        <v>139.21137890674987</v>
      </c>
      <c r="Q340" s="38"/>
    </row>
    <row r="341" spans="1:17" ht="11.25" customHeight="1">
      <c r="A341" s="46">
        <f>1+A340</f>
        <v>334</v>
      </c>
      <c r="B341" s="46" t="s">
        <v>712</v>
      </c>
      <c r="C341" s="46" t="s">
        <v>713</v>
      </c>
      <c r="D341" s="61" t="s">
        <v>24</v>
      </c>
      <c r="E341" s="61" t="s">
        <v>45</v>
      </c>
      <c r="F341" s="64">
        <f>-37.8</f>
        <v>-37.8</v>
      </c>
      <c r="G341" s="64">
        <f>-46.8</f>
        <v>-46.8</v>
      </c>
      <c r="H341" s="65">
        <f>IF(SIN(J341/$J$7)&gt;0,$J$7*ACOS((SIN(G341/$J$7)-SIN($D$4/$J$7)*K341)/(COS($D$4/$J$7)*SIN(L341/$J$7))),360-($J$7*ACOS((SIN(G341/$J$7)-SIN($D$4/$J$7)*K341)/(COS($D$4/$J$7)*SIN(L341/$J$7)))))</f>
        <v>129.2017430837485</v>
      </c>
      <c r="I341" s="66">
        <f>69.041*$J$7*(ACOS(SIN($D$4/$J$7)*SIN(G341/$J$7)+COS($D$4/$J$7)*COS(G341/$J$7)*COS(J341/$J$7)))</f>
        <v>10609.471581753545</v>
      </c>
      <c r="J341" s="63">
        <f>+$D$3-F341</f>
        <v>149.86</v>
      </c>
      <c r="K341" s="63">
        <f>SIN($D$4/$J$7)*SIN(G341/$J$7)+COS($D$4/$J$7)*COS(G341/$J$7)*COS(J341/$J$7)</f>
        <v>-0.8962477130111908</v>
      </c>
      <c r="L341" s="63">
        <f t="shared" si="16"/>
        <v>153.66914705397585</v>
      </c>
      <c r="M341" s="67">
        <f>IF(SIN(N341/$J$7)&gt;0,$J$7*ACOS((SIN($D$4/$J$7)-SIN(G341/$J$7)*O341)/(COS(G341/$J$7)*SIN(P341/$J$7))),360-($J$7*ACOS((SIN($D$4/$J$7)-SIN(G341/$J$7)*O341)/(COS(G341/$J$7)*SIN(P341/$J$7)))))</f>
        <v>250.63665991611884</v>
      </c>
      <c r="N341" s="68">
        <f>+F341-$D$3</f>
        <v>-149.86</v>
      </c>
      <c r="O341" s="69">
        <f>SIN(G341/$J$7)*SIN($D$4/$J$7)+COS(G341/$J$7)*COS($D$4/$J$7)*COS(N341/$J$7)</f>
        <v>-0.8962477130111908</v>
      </c>
      <c r="P341" s="59">
        <f t="shared" si="17"/>
        <v>153.66914705397585</v>
      </c>
      <c r="Q341" s="38"/>
    </row>
    <row r="342" spans="1:3" ht="15.75">
      <c r="A342" s="22" t="s">
        <v>714</v>
      </c>
      <c r="C342" s="21"/>
    </row>
    <row r="343" spans="1:8" ht="15.75">
      <c r="A343" s="22" t="s">
        <v>714</v>
      </c>
      <c r="E343"/>
      <c r="H343"/>
    </row>
    <row r="344" spans="1:13" ht="15.75">
      <c r="A344" s="22" t="s">
        <v>714</v>
      </c>
      <c r="B344" s="3"/>
      <c r="C344" s="3"/>
      <c r="D344" s="3"/>
      <c r="E344" s="4"/>
      <c r="F344" s="5"/>
      <c r="G344" s="5"/>
      <c r="H344" s="18"/>
      <c r="I344" s="6"/>
      <c r="J344" s="3"/>
      <c r="K344" s="3"/>
      <c r="L344" s="3"/>
      <c r="M344" s="25"/>
    </row>
    <row r="345" spans="1:13" ht="15.75">
      <c r="A345" s="22" t="s">
        <v>714</v>
      </c>
      <c r="B345" s="3"/>
      <c r="C345" s="3"/>
      <c r="D345" s="3"/>
      <c r="E345" s="4"/>
      <c r="F345" s="5"/>
      <c r="G345" s="5"/>
      <c r="H345" s="18"/>
      <c r="I345" s="6"/>
      <c r="J345" s="3"/>
      <c r="K345" s="3"/>
      <c r="L345" s="3"/>
      <c r="M345" s="25"/>
    </row>
    <row r="346" spans="1:13" ht="15.75">
      <c r="A346" s="22" t="s">
        <v>714</v>
      </c>
      <c r="B346" s="2"/>
      <c r="C346" s="2"/>
      <c r="D346" s="2"/>
      <c r="E346" s="1"/>
      <c r="F346" s="2"/>
      <c r="G346" s="2"/>
      <c r="H346" s="19"/>
      <c r="I346" s="7"/>
      <c r="J346" s="2"/>
      <c r="K346" s="2"/>
      <c r="L346" s="2"/>
      <c r="M346" s="26"/>
    </row>
    <row r="347" spans="1:13" ht="15.75">
      <c r="A347" s="22" t="s">
        <v>714</v>
      </c>
      <c r="B347" s="3"/>
      <c r="C347" s="3"/>
      <c r="D347" s="3"/>
      <c r="E347" s="4"/>
      <c r="F347" s="5"/>
      <c r="G347" s="5"/>
      <c r="H347" s="18"/>
      <c r="I347" s="6"/>
      <c r="J347" s="3"/>
      <c r="K347" s="3"/>
      <c r="L347" s="3"/>
      <c r="M347" s="25"/>
    </row>
    <row r="348" spans="1:13" ht="15.75">
      <c r="A348" s="22" t="s">
        <v>714</v>
      </c>
      <c r="B348" s="3"/>
      <c r="C348" s="3"/>
      <c r="D348" s="3"/>
      <c r="E348" s="4"/>
      <c r="F348" s="5"/>
      <c r="G348" s="5"/>
      <c r="H348" s="18"/>
      <c r="I348" s="6"/>
      <c r="J348" s="3"/>
      <c r="K348" s="3"/>
      <c r="L348" s="3"/>
      <c r="M348" s="25"/>
    </row>
    <row r="349" spans="1:13" ht="15.75">
      <c r="A349" s="22" t="s">
        <v>714</v>
      </c>
      <c r="B349" s="3"/>
      <c r="C349" s="3"/>
      <c r="D349" s="3"/>
      <c r="E349" s="4"/>
      <c r="F349" s="5"/>
      <c r="G349" s="5"/>
      <c r="H349" s="18"/>
      <c r="I349" s="6"/>
      <c r="J349" s="3"/>
      <c r="K349" s="3"/>
      <c r="L349" s="3"/>
      <c r="M349" s="25"/>
    </row>
    <row r="350" spans="1:13" ht="15.75">
      <c r="A350" s="22" t="s">
        <v>714</v>
      </c>
      <c r="B350" s="3"/>
      <c r="C350" s="3"/>
      <c r="D350" s="3"/>
      <c r="E350" s="4"/>
      <c r="F350" s="5"/>
      <c r="G350" s="5"/>
      <c r="H350" s="18"/>
      <c r="I350" s="6"/>
      <c r="J350" s="3"/>
      <c r="K350" s="3"/>
      <c r="L350" s="3"/>
      <c r="M350" s="25"/>
    </row>
    <row r="351" spans="1:13" ht="15.75">
      <c r="A351" s="22" t="s">
        <v>714</v>
      </c>
      <c r="B351" s="3"/>
      <c r="C351" s="3"/>
      <c r="D351" s="3"/>
      <c r="E351" s="4"/>
      <c r="F351" s="5"/>
      <c r="G351" s="5"/>
      <c r="H351" s="18"/>
      <c r="I351" s="6"/>
      <c r="J351" s="3"/>
      <c r="K351" s="3"/>
      <c r="L351" s="3"/>
      <c r="M351" s="25"/>
    </row>
    <row r="352" spans="1:13" ht="15.75">
      <c r="A352" s="22" t="s">
        <v>714</v>
      </c>
      <c r="B352" s="3"/>
      <c r="C352" s="3"/>
      <c r="D352" s="3"/>
      <c r="E352" s="4"/>
      <c r="F352" s="5"/>
      <c r="G352" s="5"/>
      <c r="H352" s="18"/>
      <c r="I352" s="6"/>
      <c r="J352" s="3"/>
      <c r="K352" s="3"/>
      <c r="L352" s="3"/>
      <c r="M352" s="25"/>
    </row>
    <row r="353" spans="1:2" ht="15.75">
      <c r="A353" s="22" t="s">
        <v>714</v>
      </c>
      <c r="B353" s="3"/>
    </row>
    <row r="354" ht="15.75">
      <c r="A354" s="22" t="s">
        <v>714</v>
      </c>
    </row>
    <row r="355" ht="15.75">
      <c r="A355" s="22" t="s">
        <v>714</v>
      </c>
    </row>
    <row r="356" ht="15.75">
      <c r="A356" s="22" t="s">
        <v>714</v>
      </c>
    </row>
    <row r="357" ht="15.75">
      <c r="A357" s="22" t="s">
        <v>714</v>
      </c>
    </row>
    <row r="358" ht="15.75">
      <c r="A358" s="22" t="s">
        <v>714</v>
      </c>
    </row>
    <row r="359" ht="15.75">
      <c r="A359" s="22" t="s">
        <v>714</v>
      </c>
    </row>
    <row r="360" ht="15.75">
      <c r="A360" s="22" t="s">
        <v>714</v>
      </c>
    </row>
    <row r="361" ht="15.75">
      <c r="A361" s="22" t="s">
        <v>714</v>
      </c>
    </row>
    <row r="362" ht="15.75">
      <c r="A362" s="22" t="s">
        <v>714</v>
      </c>
    </row>
  </sheetData>
  <printOptions/>
  <pageMargins left="1" right="1" top="0.5" bottom="0.587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K7NO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Norris</dc:creator>
  <cp:keywords/>
  <dc:description/>
  <cp:lastModifiedBy>Dean Norris</cp:lastModifiedBy>
  <cp:lastPrinted>1996-03-17T04:15:07Z</cp:lastPrinted>
  <dcterms:created xsi:type="dcterms:W3CDTF">1996-03-17T04:11:51Z</dcterms:created>
  <dcterms:modified xsi:type="dcterms:W3CDTF">2000-04-14T03:49:02Z</dcterms:modified>
  <cp:category/>
  <cp:version/>
  <cp:contentType/>
  <cp:contentStatus/>
</cp:coreProperties>
</file>